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BuÇalışmaKitabı" autoCompressPictures="0" defaultThemeVersion="124226"/>
  <mc:AlternateContent xmlns:mc="http://schemas.openxmlformats.org/markup-compatibility/2006">
    <mc:Choice Requires="x15">
      <x15ac:absPath xmlns:x15ac="http://schemas.microsoft.com/office/spreadsheetml/2010/11/ac" url="C:\Users\½\Desktop\"/>
    </mc:Choice>
  </mc:AlternateContent>
  <xr:revisionPtr revIDLastSave="0" documentId="13_ncr:1_{77DD21B1-C121-48A0-93EE-E05FE8C0806B}" xr6:coauthVersionLast="47" xr6:coauthVersionMax="47" xr10:uidLastSave="{00000000-0000-0000-0000-000000000000}"/>
  <workbookProtection workbookAlgorithmName="SHA-512" workbookHashValue="Du8buAmGxLLmuu+hn/Q+JRnIMxIB61XrbVVXoNNqOLVXn0yE7B//1gqgJKaUyy28+wH1C0aPpdJQqoCo9hQ/xw==" workbookSaltValue="AupmrZ3vLc6EAq9DTWRsIw==" workbookSpinCount="100000" lockStructure="1"/>
  <bookViews>
    <workbookView xWindow="-120" yWindow="-120" windowWidth="29040" windowHeight="15840" xr2:uid="{00000000-000D-0000-FFFF-FFFF00000000}"/>
  </bookViews>
  <sheets>
    <sheet name="Özet Tablo" sheetId="130" r:id="rId1"/>
  </sheets>
  <definedNames>
    <definedName name="_xlnm._FilterDatabase" localSheetId="0" hidden="1">'Özet Tablo'!#REF!</definedName>
    <definedName name="Bartın_854">'Özet Tablo'!#REF!</definedName>
    <definedName name="Çanakkale_4857">'Özet Tablo'!#REF!</definedName>
    <definedName name="Çanakkale_854">'Özet Tablo'!#REF!</definedName>
    <definedName name="İST_K_4857">'Özet Tablo'!#REF!</definedName>
    <definedName name="İST_K_854">'Özet Tablo'!#REF!</definedName>
    <definedName name="İST_K_854_Deniz_Taksi">'Özet Tablo'!#REF!</definedName>
    <definedName name="İST_K_Güvenlik_Kapsam_Dışı">'Özet Tablo'!#REF!</definedName>
    <definedName name="İST_K_Kafe_Kapsam_Dışı">'Özet Tablo'!#REF!</definedName>
    <definedName name="İST_K_Temizlik_Kapsam_Dışı">'Özet Tablo'!#REF!</definedName>
    <definedName name="İST_Ö_4857">'Özet Tablo'!#REF!</definedName>
    <definedName name="İST_Ö_854">'Özet Tablo'!#REF!</definedName>
    <definedName name="İzmir_4857">'Özet Tablo'!#REF!</definedName>
    <definedName name="İzmir_854">'Özet Tablo'!#REF!</definedName>
    <definedName name="Zonguldak_854">'Özet Tablo'!#REF!</definedName>
  </definedNames>
  <calcPr calcId="191029" iterate="1"/>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37" i="130" l="1"/>
  <c r="AK38" i="130"/>
  <c r="AK39" i="130"/>
  <c r="AK40" i="130"/>
  <c r="AK36" i="130"/>
  <c r="AK35" i="130"/>
  <c r="AS16" i="130"/>
  <c r="AS17" i="130"/>
  <c r="AS18" i="130"/>
  <c r="AS19" i="130"/>
  <c r="AS20" i="130"/>
  <c r="AS21" i="130"/>
  <c r="AS22" i="130"/>
  <c r="AS23" i="130"/>
  <c r="AS24" i="130"/>
  <c r="AS25" i="130"/>
  <c r="AS26" i="130"/>
  <c r="AS15" i="130"/>
  <c r="AQ16" i="130"/>
  <c r="AQ17" i="130"/>
  <c r="AQ18" i="130"/>
  <c r="AQ19" i="130"/>
  <c r="AQ20" i="130"/>
  <c r="AQ21" i="130"/>
  <c r="AQ22" i="130"/>
  <c r="AQ23" i="130"/>
  <c r="AQ24" i="130"/>
  <c r="AQ25" i="130"/>
  <c r="AQ26" i="130"/>
  <c r="AQ15" i="130"/>
  <c r="AO16" i="130"/>
  <c r="AO17" i="130"/>
  <c r="AO18" i="130"/>
  <c r="AO19" i="130"/>
  <c r="AO20" i="130"/>
  <c r="AO21" i="130"/>
  <c r="AO22" i="130"/>
  <c r="AO23" i="130"/>
  <c r="AO24" i="130"/>
  <c r="AO25" i="130"/>
  <c r="AO26" i="130"/>
  <c r="AO15" i="130"/>
  <c r="E16" i="130"/>
  <c r="AL44" i="130" s="1"/>
  <c r="E17" i="130"/>
  <c r="E18" i="130"/>
  <c r="E19" i="130"/>
  <c r="E20" i="130"/>
  <c r="E21" i="130"/>
  <c r="E22" i="130"/>
  <c r="E23" i="130"/>
  <c r="E24" i="130"/>
  <c r="E25" i="130"/>
  <c r="E26" i="130"/>
  <c r="E15" i="130"/>
  <c r="AM30" i="130"/>
  <c r="AM16" i="130"/>
  <c r="AM17" i="130"/>
  <c r="AM18" i="130"/>
  <c r="AM19" i="130"/>
  <c r="AM20" i="130"/>
  <c r="AM21" i="130"/>
  <c r="AM22" i="130"/>
  <c r="AM23" i="130"/>
  <c r="AM24" i="130"/>
  <c r="AM25" i="130"/>
  <c r="AM26" i="130"/>
  <c r="AM15" i="130"/>
  <c r="AJ17" i="130"/>
  <c r="AJ18" i="130"/>
  <c r="AJ19" i="130"/>
  <c r="AJ20" i="130"/>
  <c r="AJ21" i="130"/>
  <c r="AJ22" i="130"/>
  <c r="AJ23" i="130"/>
  <c r="AJ24" i="130"/>
  <c r="AJ25" i="130"/>
  <c r="AJ26" i="130"/>
  <c r="AG30" i="130"/>
  <c r="AK32" i="130"/>
  <c r="AK33" i="130"/>
  <c r="AK34" i="130"/>
  <c r="AK30" i="130"/>
  <c r="AK31" i="130"/>
  <c r="AI30" i="130"/>
  <c r="AI31" i="130"/>
  <c r="AI32" i="130"/>
  <c r="AI33" i="130"/>
  <c r="AI34" i="130"/>
  <c r="AI35" i="130"/>
  <c r="AI36" i="130"/>
  <c r="AI37" i="130"/>
  <c r="AI38" i="130"/>
  <c r="AI39" i="130"/>
  <c r="AI40" i="130"/>
  <c r="AI29" i="130"/>
  <c r="AK29" i="130"/>
  <c r="AN39" i="130"/>
  <c r="AN38" i="130"/>
  <c r="AN36" i="130"/>
  <c r="AN35" i="130"/>
  <c r="AN33" i="130"/>
  <c r="AN32" i="130"/>
  <c r="AN29" i="130"/>
  <c r="AN30" i="130"/>
  <c r="AI44" i="130"/>
  <c r="AI45" i="130"/>
  <c r="AI46" i="130"/>
  <c r="AI47" i="130"/>
  <c r="AI48" i="130"/>
  <c r="AI49" i="130"/>
  <c r="AI50" i="130"/>
  <c r="AI51" i="130"/>
  <c r="AI52" i="130"/>
  <c r="AI53" i="130"/>
  <c r="AI54" i="130"/>
  <c r="AI43" i="130"/>
  <c r="AL45" i="130" l="1"/>
  <c r="AM31" i="130"/>
  <c r="AL46" i="130"/>
  <c r="AM32" i="130"/>
  <c r="AL47" i="130"/>
  <c r="AM33" i="130"/>
  <c r="AL48" i="130"/>
  <c r="AM34" i="130"/>
  <c r="AL49" i="130"/>
  <c r="AM35" i="130"/>
  <c r="AM36" i="130"/>
  <c r="AL50" i="130"/>
  <c r="AL51" i="130"/>
  <c r="AM37" i="130"/>
  <c r="AL52" i="130"/>
  <c r="AM38" i="130"/>
  <c r="AL53" i="130"/>
  <c r="AM39" i="130"/>
  <c r="AL54" i="130"/>
  <c r="AM40" i="130"/>
  <c r="AM29" i="130"/>
  <c r="AL43" i="130"/>
  <c r="AJ16" i="130"/>
  <c r="AG29" i="130"/>
  <c r="AJ15" i="130"/>
  <c r="AJ44" i="130"/>
  <c r="AJ45" i="130"/>
  <c r="AJ46" i="130"/>
  <c r="AJ47" i="130"/>
  <c r="AJ48" i="130"/>
  <c r="AJ49" i="130"/>
  <c r="AJ50" i="130"/>
  <c r="AJ51" i="130"/>
  <c r="AJ52" i="130"/>
  <c r="AJ53" i="130"/>
  <c r="AJ54" i="130"/>
  <c r="AJ43" i="130"/>
  <c r="AF4" i="130" l="1"/>
  <c r="AJ4" i="130" s="1"/>
  <c r="AF5" i="130"/>
  <c r="AF6" i="130"/>
  <c r="AG6" i="130" s="1"/>
  <c r="AH6" i="130" s="1"/>
  <c r="AI6" i="130" s="1"/>
  <c r="AF7" i="130"/>
  <c r="AG7" i="130" s="1"/>
  <c r="AF8" i="130"/>
  <c r="AG8" i="130" s="1"/>
  <c r="AF9" i="130"/>
  <c r="AF10" i="130"/>
  <c r="AG10" i="130" s="1"/>
  <c r="AH10" i="130" s="1"/>
  <c r="AI10" i="130" s="1"/>
  <c r="AF11" i="130"/>
  <c r="AJ11" i="130" s="1"/>
  <c r="AK11" i="130" s="1"/>
  <c r="AF12" i="130"/>
  <c r="AF1" i="130"/>
  <c r="AJ1" i="130" s="1"/>
  <c r="AK1" i="130" s="1"/>
  <c r="AF2" i="130"/>
  <c r="AF3" i="130"/>
  <c r="AJ3" i="130" s="1"/>
  <c r="AR30" i="130"/>
  <c r="AR31" i="130"/>
  <c r="AR32" i="130"/>
  <c r="AR33" i="130"/>
  <c r="AR34" i="130"/>
  <c r="AR35" i="130"/>
  <c r="AR36" i="130"/>
  <c r="AR37" i="130"/>
  <c r="AR38" i="130"/>
  <c r="AR39" i="130"/>
  <c r="AR40" i="130"/>
  <c r="AR29" i="130"/>
  <c r="I27" i="130"/>
  <c r="AR72" i="130"/>
  <c r="AQ72" i="130"/>
  <c r="AW57" i="130"/>
  <c r="AV57" i="130"/>
  <c r="AE69" i="130"/>
  <c r="AI69" i="130" s="1"/>
  <c r="AE68" i="130"/>
  <c r="AI68" i="130" s="1"/>
  <c r="AE67" i="130"/>
  <c r="AF67" i="130" s="1"/>
  <c r="AE66" i="130"/>
  <c r="AJ66" i="130" s="1"/>
  <c r="AE65" i="130"/>
  <c r="BB65" i="130" s="1"/>
  <c r="AE64" i="130"/>
  <c r="AI64" i="130" s="1"/>
  <c r="AE63" i="130"/>
  <c r="AE62" i="130"/>
  <c r="AE61" i="130"/>
  <c r="AF61" i="130" s="1"/>
  <c r="AG61" i="130" s="1"/>
  <c r="AH61" i="130" s="1"/>
  <c r="AE60" i="130"/>
  <c r="AF60" i="130" s="1"/>
  <c r="AE59" i="130"/>
  <c r="AE58" i="130"/>
  <c r="AF58" i="130" s="1"/>
  <c r="AA13" i="130"/>
  <c r="AA34" i="130"/>
  <c r="AA33" i="130" s="1"/>
  <c r="AB26" i="130"/>
  <c r="AA25" i="130"/>
  <c r="AC25" i="130" s="1"/>
  <c r="AA24" i="130"/>
  <c r="AD24" i="130" s="1"/>
  <c r="AA23" i="130"/>
  <c r="AD23" i="130" s="1"/>
  <c r="AA22" i="130"/>
  <c r="AA19" i="130"/>
  <c r="AA17" i="130"/>
  <c r="AA18" i="130" s="1"/>
  <c r="AC18" i="130" s="1"/>
  <c r="AC7" i="130" s="1"/>
  <c r="AA16" i="130"/>
  <c r="AC16" i="130" s="1"/>
  <c r="AC5" i="130" s="1"/>
  <c r="AA4" i="130"/>
  <c r="AC4" i="130" s="1"/>
  <c r="AA3" i="130"/>
  <c r="AC3" i="130" s="1"/>
  <c r="AA2" i="130"/>
  <c r="AD2" i="130" s="1"/>
  <c r="U2" i="130"/>
  <c r="AX74" i="130"/>
  <c r="AX75" i="130"/>
  <c r="AX76" i="130"/>
  <c r="AX77" i="130"/>
  <c r="AX78" i="130"/>
  <c r="AX79" i="130"/>
  <c r="AX80" i="130"/>
  <c r="AX81" i="130"/>
  <c r="AX82" i="130"/>
  <c r="AX83" i="130"/>
  <c r="AX84" i="130"/>
  <c r="AX73" i="130"/>
  <c r="AF41" i="130"/>
  <c r="J27" i="130"/>
  <c r="H27" i="130"/>
  <c r="AP41" i="130"/>
  <c r="AS13" i="130"/>
  <c r="K27" i="130"/>
  <c r="AT59" i="130"/>
  <c r="AT60" i="130"/>
  <c r="AT61" i="130"/>
  <c r="AT62" i="130"/>
  <c r="AT63" i="130"/>
  <c r="AT64" i="130"/>
  <c r="AT65" i="130"/>
  <c r="AT66" i="130"/>
  <c r="AT67" i="130"/>
  <c r="AT68" i="130"/>
  <c r="AT69" i="130"/>
  <c r="AT58" i="130"/>
  <c r="AK59" i="130"/>
  <c r="AK60" i="130"/>
  <c r="AK61" i="130"/>
  <c r="AK62" i="130"/>
  <c r="AK63" i="130"/>
  <c r="AK64" i="130"/>
  <c r="AK65" i="130"/>
  <c r="AK66" i="130"/>
  <c r="AK67" i="130"/>
  <c r="AK68" i="130"/>
  <c r="AK69" i="130"/>
  <c r="AK58" i="130"/>
  <c r="AP59" i="130"/>
  <c r="AF15" i="130"/>
  <c r="AG15" i="130" s="1"/>
  <c r="AP62" i="130"/>
  <c r="AP61" i="130"/>
  <c r="AP60" i="130"/>
  <c r="AR59" i="130"/>
  <c r="AJ62" i="130" l="1"/>
  <c r="AL62" i="130" s="1"/>
  <c r="AM62" i="130" s="1"/>
  <c r="AI62" i="130"/>
  <c r="AF63" i="130"/>
  <c r="BB63" i="130"/>
  <c r="BB66" i="130"/>
  <c r="AA26" i="130"/>
  <c r="AC23" i="130"/>
  <c r="BB61" i="130"/>
  <c r="BB62" i="130"/>
  <c r="AD17" i="130"/>
  <c r="AD6" i="130" s="1"/>
  <c r="AC17" i="130"/>
  <c r="AC6" i="130" s="1"/>
  <c r="AD3" i="130"/>
  <c r="BB69" i="130"/>
  <c r="AD22" i="130"/>
  <c r="AC22" i="130"/>
  <c r="AC24" i="130"/>
  <c r="AD4" i="130"/>
  <c r="AC2" i="130"/>
  <c r="AC34" i="130"/>
  <c r="AD34" i="130"/>
  <c r="AJ65" i="130"/>
  <c r="AL65" i="130" s="1"/>
  <c r="AF69" i="130"/>
  <c r="AG69" i="130" s="1"/>
  <c r="AH69" i="130" s="1"/>
  <c r="AD18" i="130"/>
  <c r="AD7" i="130" s="1"/>
  <c r="AD16" i="130"/>
  <c r="AD5" i="130" s="1"/>
  <c r="AR60" i="130"/>
  <c r="AR61" i="130" s="1"/>
  <c r="AR62" i="130" s="1"/>
  <c r="AJ61" i="130"/>
  <c r="AL61" i="130" s="1"/>
  <c r="AJ69" i="130"/>
  <c r="AL69" i="130" s="1"/>
  <c r="AN69" i="130" s="1"/>
  <c r="AK41" i="130"/>
  <c r="AK42" i="130" s="1"/>
  <c r="AL66" i="130"/>
  <c r="AM66" i="130" s="1"/>
  <c r="AD25" i="130"/>
  <c r="AI58" i="130"/>
  <c r="BB58" i="130"/>
  <c r="AI66" i="130"/>
  <c r="AI65" i="130"/>
  <c r="AF65" i="130"/>
  <c r="AG65" i="130" s="1"/>
  <c r="AH65" i="130" s="1"/>
  <c r="AI61" i="130"/>
  <c r="AJ12" i="130"/>
  <c r="AK12" i="130" s="1"/>
  <c r="AL12" i="130" s="1"/>
  <c r="AG12" i="130"/>
  <c r="AH12" i="130" s="1"/>
  <c r="AI12" i="130" s="1"/>
  <c r="AJ8" i="130"/>
  <c r="AK8" i="130" s="1"/>
  <c r="AJ80" i="130" s="1"/>
  <c r="AJ83" i="130"/>
  <c r="AM44" i="130"/>
  <c r="AH15" i="130"/>
  <c r="AI15" i="130" s="1"/>
  <c r="AE16" i="130"/>
  <c r="AF64" i="130"/>
  <c r="AG64" i="130" s="1"/>
  <c r="AH64" i="130" s="1"/>
  <c r="BB60" i="130"/>
  <c r="BB64" i="130"/>
  <c r="BB68" i="130"/>
  <c r="AM27" i="130"/>
  <c r="AM28" i="130" s="1"/>
  <c r="AJ67" i="130"/>
  <c r="AL67" i="130" s="1"/>
  <c r="AF59" i="130"/>
  <c r="AG59" i="130" s="1"/>
  <c r="AH59" i="130" s="1"/>
  <c r="BB59" i="130"/>
  <c r="AJ59" i="130"/>
  <c r="AL59" i="130" s="1"/>
  <c r="AF68" i="130"/>
  <c r="AG68" i="130" s="1"/>
  <c r="AH68" i="130" s="1"/>
  <c r="AI60" i="130"/>
  <c r="AI59" i="130"/>
  <c r="BB67" i="130"/>
  <c r="AE70" i="130"/>
  <c r="AE71" i="130" s="1"/>
  <c r="AJ64" i="130"/>
  <c r="AL64" i="130" s="1"/>
  <c r="AI67" i="130"/>
  <c r="AJ2" i="130"/>
  <c r="AK2" i="130" s="1"/>
  <c r="AJ74" i="130" s="1"/>
  <c r="AG2" i="130"/>
  <c r="AJ10" i="130"/>
  <c r="AK10" i="130" s="1"/>
  <c r="AL10" i="130" s="1"/>
  <c r="AN10" i="130" s="1"/>
  <c r="AG4" i="130"/>
  <c r="AF76" i="130" s="1"/>
  <c r="AJ6" i="130"/>
  <c r="AK6" i="130" s="1"/>
  <c r="AL6" i="130" s="1"/>
  <c r="AG11" i="130"/>
  <c r="AL41" i="130"/>
  <c r="AG5" i="130"/>
  <c r="AH5" i="130" s="1"/>
  <c r="AI5" i="130" s="1"/>
  <c r="AJ5" i="130"/>
  <c r="AK5" i="130" s="1"/>
  <c r="AJ77" i="130" s="1"/>
  <c r="AG9" i="130"/>
  <c r="AH9" i="130" s="1"/>
  <c r="AI9" i="130" s="1"/>
  <c r="AJ9" i="130"/>
  <c r="AI41" i="130"/>
  <c r="AI42" i="130" s="1"/>
  <c r="AL11" i="130"/>
  <c r="AN11" i="130" s="1"/>
  <c r="AK3" i="130"/>
  <c r="AJ75" i="130" s="1"/>
  <c r="AF82" i="130"/>
  <c r="AJ7" i="130"/>
  <c r="AK7" i="130" s="1"/>
  <c r="AL7" i="130" s="1"/>
  <c r="AG3" i="130"/>
  <c r="AG1" i="130"/>
  <c r="AF73" i="130" s="1"/>
  <c r="G27" i="130"/>
  <c r="G28" i="130" s="1"/>
  <c r="AR41" i="130"/>
  <c r="AR42" i="130" s="1"/>
  <c r="AC33" i="130"/>
  <c r="AD33" i="130"/>
  <c r="AK70" i="130"/>
  <c r="AK71" i="130" s="1"/>
  <c r="AT70" i="130"/>
  <c r="AT71" i="130" s="1"/>
  <c r="AL1" i="130"/>
  <c r="AK4" i="130"/>
  <c r="AJ76" i="130" s="1"/>
  <c r="AG60" i="130"/>
  <c r="AH60" i="130" s="1"/>
  <c r="AF13" i="130"/>
  <c r="AF14" i="130" s="1"/>
  <c r="AH8" i="130"/>
  <c r="AI8" i="130" s="1"/>
  <c r="AJ58" i="130"/>
  <c r="AG58" i="130"/>
  <c r="AF66" i="130"/>
  <c r="AF62" i="130"/>
  <c r="AG67" i="130"/>
  <c r="AH67" i="130" s="1"/>
  <c r="AI63" i="130"/>
  <c r="AH7" i="130"/>
  <c r="AI7" i="130" s="1"/>
  <c r="AJ68" i="130"/>
  <c r="AL68" i="130" s="1"/>
  <c r="AJ60" i="130"/>
  <c r="AL60" i="130" s="1"/>
  <c r="AJ63" i="130"/>
  <c r="AL63" i="130" s="1"/>
  <c r="AF78" i="130" l="1"/>
  <c r="AG63" i="130"/>
  <c r="AH63" i="130" s="1"/>
  <c r="AD26" i="130"/>
  <c r="AD27" i="130" s="1"/>
  <c r="AC26" i="130"/>
  <c r="AC27" i="130" s="1"/>
  <c r="AD19" i="130"/>
  <c r="AD20" i="130" s="1"/>
  <c r="AC19" i="130"/>
  <c r="AC20" i="130" s="1"/>
  <c r="AN62" i="130"/>
  <c r="AS62" i="130" s="1"/>
  <c r="AU62" i="130" s="1"/>
  <c r="AF84" i="130"/>
  <c r="AM65" i="130"/>
  <c r="AN65" i="130"/>
  <c r="Z8" i="130"/>
  <c r="Y8" i="130" s="1"/>
  <c r="AJ84" i="130"/>
  <c r="AL8" i="130"/>
  <c r="AN8" i="130" s="1"/>
  <c r="AF83" i="130"/>
  <c r="AN66" i="130"/>
  <c r="AS66" i="130" s="1"/>
  <c r="AU66" i="130" s="1"/>
  <c r="AM61" i="130"/>
  <c r="AN61" i="130"/>
  <c r="AM69" i="130"/>
  <c r="AS69" i="130" s="1"/>
  <c r="AU69" i="130" s="1"/>
  <c r="AJ78" i="130"/>
  <c r="AI70" i="130"/>
  <c r="AI71" i="130" s="1"/>
  <c r="AF79" i="130"/>
  <c r="AF80" i="130"/>
  <c r="AN59" i="130"/>
  <c r="AM59" i="130"/>
  <c r="AH11" i="130"/>
  <c r="AI11" i="130" s="1"/>
  <c r="AH2" i="130"/>
  <c r="AI2" i="130" s="1"/>
  <c r="AF74" i="130"/>
  <c r="AM11" i="130"/>
  <c r="AO11" i="130" s="1"/>
  <c r="AH3" i="130"/>
  <c r="AI3" i="130" s="1"/>
  <c r="AF75" i="130"/>
  <c r="AH4" i="130"/>
  <c r="AI4" i="130" s="1"/>
  <c r="AG13" i="130"/>
  <c r="AG14" i="130" s="1"/>
  <c r="AF16" i="130"/>
  <c r="AG16" i="130" s="1"/>
  <c r="BB70" i="130"/>
  <c r="BB71" i="130" s="1"/>
  <c r="AM64" i="130"/>
  <c r="AN64" i="130"/>
  <c r="AM67" i="130"/>
  <c r="AN67" i="130"/>
  <c r="AJ82" i="130"/>
  <c r="AM10" i="130"/>
  <c r="AO10" i="130" s="1"/>
  <c r="AP10" i="130" s="1"/>
  <c r="AL5" i="130"/>
  <c r="AN5" i="130" s="1"/>
  <c r="AJ13" i="130"/>
  <c r="AJ14" i="130" s="1"/>
  <c r="AH1" i="130"/>
  <c r="AI1" i="130" s="1"/>
  <c r="AM12" i="130"/>
  <c r="AN12" i="130"/>
  <c r="AK9" i="130"/>
  <c r="AJ81" i="130" s="1"/>
  <c r="AL3" i="130"/>
  <c r="AN60" i="130"/>
  <c r="AM60" i="130"/>
  <c r="AJ70" i="130"/>
  <c r="AJ71" i="130" s="1"/>
  <c r="AL58" i="130"/>
  <c r="AL4" i="130"/>
  <c r="AJ79" i="130"/>
  <c r="AN6" i="130"/>
  <c r="AM6" i="130"/>
  <c r="AN63" i="130"/>
  <c r="AM63" i="130"/>
  <c r="AH58" i="130"/>
  <c r="AM68" i="130"/>
  <c r="AN68" i="130"/>
  <c r="AG62" i="130"/>
  <c r="AH62" i="130" s="1"/>
  <c r="AF77" i="130"/>
  <c r="AM7" i="130"/>
  <c r="AN7" i="130"/>
  <c r="AG66" i="130"/>
  <c r="AH66" i="130" s="1"/>
  <c r="AF81" i="130"/>
  <c r="AN1" i="130"/>
  <c r="AM1" i="130"/>
  <c r="AL2" i="130"/>
  <c r="AF70" i="130"/>
  <c r="AF71" i="130" s="1"/>
  <c r="AM43" i="130"/>
  <c r="AO44" i="130"/>
  <c r="AO43" i="130"/>
  <c r="BC62" i="130" l="1"/>
  <c r="BC65" i="130"/>
  <c r="BC66" i="130"/>
  <c r="AM8" i="130"/>
  <c r="AO8" i="130" s="1"/>
  <c r="AP8" i="130" s="1"/>
  <c r="BC69" i="130"/>
  <c r="BC59" i="130"/>
  <c r="AS65" i="130"/>
  <c r="AU65" i="130" s="1"/>
  <c r="AS59" i="130"/>
  <c r="AU59" i="130" s="1"/>
  <c r="AS64" i="130"/>
  <c r="AU64" i="130" s="1"/>
  <c r="BC61" i="130"/>
  <c r="AS61" i="130"/>
  <c r="AU61" i="130" s="1"/>
  <c r="AH16" i="130"/>
  <c r="BC64" i="130"/>
  <c r="AQ10" i="130"/>
  <c r="AH13" i="130"/>
  <c r="AH14" i="130" s="1"/>
  <c r="AS60" i="130"/>
  <c r="AU60" i="130" s="1"/>
  <c r="BC67" i="130"/>
  <c r="AE17" i="130"/>
  <c r="AM5" i="130"/>
  <c r="AO5" i="130" s="1"/>
  <c r="AP5" i="130" s="1"/>
  <c r="AS67" i="130"/>
  <c r="AU67" i="130" s="1"/>
  <c r="AG70" i="130"/>
  <c r="AG71" i="130" s="1"/>
  <c r="BC60" i="130"/>
  <c r="AS63" i="130"/>
  <c r="AU63" i="130" s="1"/>
  <c r="AI13" i="130"/>
  <c r="AI14" i="130" s="1"/>
  <c r="AF85" i="130"/>
  <c r="AF86" i="130" s="1"/>
  <c r="AK13" i="130"/>
  <c r="AK14" i="130" s="1"/>
  <c r="AM3" i="130"/>
  <c r="AN3" i="130"/>
  <c r="AO12" i="130"/>
  <c r="AO6" i="130"/>
  <c r="AP6" i="130" s="1"/>
  <c r="AL9" i="130"/>
  <c r="AL13" i="130" s="1"/>
  <c r="AL14" i="130" s="1"/>
  <c r="AN4" i="130"/>
  <c r="AM4" i="130"/>
  <c r="AN58" i="130"/>
  <c r="AN70" i="130" s="1"/>
  <c r="AN71" i="130" s="1"/>
  <c r="AL70" i="130"/>
  <c r="AL71" i="130" s="1"/>
  <c r="AM58" i="130"/>
  <c r="AO7" i="130"/>
  <c r="AN2" i="130"/>
  <c r="AM2" i="130"/>
  <c r="AS68" i="130"/>
  <c r="AU68" i="130" s="1"/>
  <c r="BC68" i="130"/>
  <c r="AO1" i="130"/>
  <c r="AP11" i="130"/>
  <c r="BC63" i="130"/>
  <c r="AH70" i="130"/>
  <c r="AH71" i="130" s="1"/>
  <c r="AI16" i="130" l="1"/>
  <c r="AF17" i="130"/>
  <c r="AG17" i="130" s="1"/>
  <c r="BC58" i="130"/>
  <c r="BC70" i="130" s="1"/>
  <c r="BC71" i="130" s="1"/>
  <c r="AO3" i="130"/>
  <c r="AP3" i="130" s="1"/>
  <c r="AP12" i="130"/>
  <c r="AQ11" i="130"/>
  <c r="AN9" i="130"/>
  <c r="AN13" i="130" s="1"/>
  <c r="AN14" i="130" s="1"/>
  <c r="AM9" i="130"/>
  <c r="AM13" i="130" s="1"/>
  <c r="AM14" i="130" s="1"/>
  <c r="AS58" i="130"/>
  <c r="AM70" i="130"/>
  <c r="AM71" i="130" s="1"/>
  <c r="AQ6" i="130"/>
  <c r="AP1" i="130"/>
  <c r="AQ8" i="130"/>
  <c r="AO2" i="130"/>
  <c r="AP7" i="130"/>
  <c r="AQ5" i="130"/>
  <c r="AO4" i="130"/>
  <c r="AH17" i="130" l="1"/>
  <c r="AE18" i="130"/>
  <c r="AF18" i="130" s="1"/>
  <c r="AG18" i="130" s="1"/>
  <c r="AQ3" i="130"/>
  <c r="AQ7" i="130"/>
  <c r="AO9" i="130"/>
  <c r="AO13" i="130" s="1"/>
  <c r="AO14" i="130" s="1"/>
  <c r="AQ12" i="130"/>
  <c r="AQ1" i="130"/>
  <c r="AS70" i="130"/>
  <c r="AS71" i="130" s="1"/>
  <c r="AU58" i="130"/>
  <c r="AP2" i="130"/>
  <c r="AO74" i="130" s="1"/>
  <c r="AP4" i="130"/>
  <c r="AI17" i="130" l="1"/>
  <c r="AH18" i="130"/>
  <c r="AE19" i="130"/>
  <c r="AF19" i="130" s="1"/>
  <c r="AG19" i="130" s="1"/>
  <c r="AP9" i="130"/>
  <c r="AQ9" i="130" s="1"/>
  <c r="AQ4" i="130"/>
  <c r="AQ2" i="130"/>
  <c r="AV61" i="130"/>
  <c r="AW61" i="130" s="1"/>
  <c r="AV58" i="130"/>
  <c r="AW58" i="130" s="1"/>
  <c r="AX58" i="130" s="1"/>
  <c r="AY58" i="130" s="1"/>
  <c r="BA58" i="130" s="1"/>
  <c r="AV63" i="130"/>
  <c r="AW63" i="130" s="1"/>
  <c r="AV60" i="130"/>
  <c r="AW60" i="130" s="1"/>
  <c r="AV68" i="130"/>
  <c r="AW68" i="130" s="1"/>
  <c r="AV65" i="130"/>
  <c r="AW65" i="130" s="1"/>
  <c r="AU70" i="130"/>
  <c r="AU71" i="130" s="1"/>
  <c r="AV59" i="130"/>
  <c r="AW59" i="130" s="1"/>
  <c r="AV64" i="130"/>
  <c r="AW64" i="130" s="1"/>
  <c r="AV62" i="130"/>
  <c r="AW62" i="130" s="1"/>
  <c r="AV67" i="130"/>
  <c r="AW67" i="130" s="1"/>
  <c r="AV66" i="130"/>
  <c r="AW66" i="130" s="1"/>
  <c r="AV69" i="130"/>
  <c r="AW69" i="130" s="1"/>
  <c r="AX68" i="130" l="1"/>
  <c r="AY68" i="130" s="1"/>
  <c r="AX61" i="130"/>
  <c r="AY61" i="130" s="1"/>
  <c r="AE20" i="130"/>
  <c r="AF20" i="130" s="1"/>
  <c r="AG20" i="130" s="1"/>
  <c r="AH19" i="130"/>
  <c r="AI19" i="130" s="1"/>
  <c r="AX65" i="130"/>
  <c r="AY65" i="130" s="1"/>
  <c r="BA65" i="130" s="1"/>
  <c r="AX62" i="130"/>
  <c r="AY62" i="130" s="1"/>
  <c r="BA62" i="130" s="1"/>
  <c r="AX69" i="130"/>
  <c r="AY69" i="130" s="1"/>
  <c r="BA69" i="130" s="1"/>
  <c r="AX64" i="130"/>
  <c r="AY64" i="130" s="1"/>
  <c r="BA64" i="130" s="1"/>
  <c r="AI18" i="130"/>
  <c r="AZ58" i="130"/>
  <c r="AX67" i="130"/>
  <c r="AY67" i="130" s="1"/>
  <c r="AZ67" i="130" s="1"/>
  <c r="AP13" i="130"/>
  <c r="AP14" i="130" s="1"/>
  <c r="AX66" i="130"/>
  <c r="AY66" i="130" s="1"/>
  <c r="AX59" i="130"/>
  <c r="AY59" i="130" s="1"/>
  <c r="AX60" i="130"/>
  <c r="AY60" i="130" s="1"/>
  <c r="AQ13" i="130"/>
  <c r="AQ14" i="130" s="1"/>
  <c r="AX63" i="130"/>
  <c r="AY63" i="130" s="1"/>
  <c r="AZ68" i="130" l="1"/>
  <c r="BA68" i="130"/>
  <c r="BA61" i="130"/>
  <c r="AZ61" i="130"/>
  <c r="AZ64" i="130"/>
  <c r="AZ65" i="130"/>
  <c r="AZ69" i="130"/>
  <c r="AZ62" i="130"/>
  <c r="AH20" i="130"/>
  <c r="BA67" i="130"/>
  <c r="BA63" i="130"/>
  <c r="AZ63" i="130"/>
  <c r="BA60" i="130"/>
  <c r="AZ60" i="130"/>
  <c r="BA59" i="130"/>
  <c r="AZ59" i="130"/>
  <c r="AE21" i="130"/>
  <c r="BA66" i="130"/>
  <c r="AZ66" i="130"/>
  <c r="AZ70" i="130" l="1"/>
  <c r="AZ71" i="130" s="1"/>
  <c r="AF21" i="130"/>
  <c r="AG21" i="130" s="1"/>
  <c r="AI20" i="130"/>
  <c r="AE22" i="130" l="1"/>
  <c r="AH21" i="130"/>
  <c r="AF22" i="130" l="1"/>
  <c r="AG22" i="130" s="1"/>
  <c r="AI21" i="130"/>
  <c r="AH22" i="130" l="1"/>
  <c r="AE23" i="130"/>
  <c r="AF23" i="130" l="1"/>
  <c r="AG23" i="130" s="1"/>
  <c r="AI22" i="130"/>
  <c r="AH23" i="130" l="1"/>
  <c r="AE24" i="130"/>
  <c r="AI23" i="130" l="1"/>
  <c r="AF24" i="130"/>
  <c r="AG24" i="130" s="1"/>
  <c r="AE25" i="130" l="1"/>
  <c r="AH24" i="130"/>
  <c r="AI24" i="130" l="1"/>
  <c r="AF25" i="130"/>
  <c r="AG25" i="130" s="1"/>
  <c r="AE26" i="130" l="1"/>
  <c r="AH25" i="130"/>
  <c r="AF26" i="130" l="1"/>
  <c r="AG26" i="130" s="1"/>
  <c r="AI25" i="130"/>
  <c r="AG27" i="130" l="1"/>
  <c r="AH26" i="130"/>
  <c r="AH27" i="130" s="1"/>
  <c r="AI26" i="130" l="1"/>
  <c r="AI27" i="130" s="1"/>
  <c r="AJ55" i="130"/>
  <c r="AJ56" i="130" s="1"/>
  <c r="Z11" i="130" l="1"/>
  <c r="Y11" i="130" s="1"/>
  <c r="AJ73" i="130"/>
  <c r="AJ85" i="130" s="1"/>
  <c r="AJ86" i="130" s="1"/>
  <c r="AO73" i="130"/>
  <c r="AI55" i="130"/>
  <c r="AI56" i="130" s="1"/>
  <c r="AG35" i="130" l="1"/>
  <c r="AM49" i="130"/>
  <c r="AO79" i="130" s="1"/>
  <c r="AM51" i="130"/>
  <c r="AO81" i="130" s="1"/>
  <c r="AG37" i="130"/>
  <c r="AG33" i="130"/>
  <c r="AG34" i="130"/>
  <c r="AM48" i="130"/>
  <c r="AO78" i="130" s="1"/>
  <c r="AG36" i="130"/>
  <c r="AM50" i="130"/>
  <c r="AO80" i="130" s="1"/>
  <c r="AG31" i="130"/>
  <c r="AG32" i="130"/>
  <c r="AM46" i="130"/>
  <c r="AO76" i="130" s="1"/>
  <c r="AM47" i="130"/>
  <c r="AO77" i="130" s="1"/>
  <c r="E27" i="130" l="1"/>
  <c r="E28" i="130" s="1"/>
  <c r="AO51" i="130"/>
  <c r="C27" i="130"/>
  <c r="C28" i="130" s="1"/>
  <c r="AG38" i="130"/>
  <c r="AM53" i="130"/>
  <c r="AO83" i="130" s="1"/>
  <c r="AG39" i="130"/>
  <c r="AM54" i="130"/>
  <c r="AO84" i="130" s="1"/>
  <c r="AG40" i="130"/>
  <c r="AN34" i="130"/>
  <c r="AO47" i="130"/>
  <c r="AN37" i="130"/>
  <c r="AO49" i="130"/>
  <c r="AO50" i="130"/>
  <c r="AO48" i="130"/>
  <c r="AO45" i="130"/>
  <c r="AN31" i="130"/>
  <c r="AM45" i="130"/>
  <c r="AO46" i="130"/>
  <c r="AO54" i="130" l="1"/>
  <c r="AG41" i="130"/>
  <c r="AG42" i="130" s="1"/>
  <c r="AS27" i="130"/>
  <c r="AS28" i="130" s="1"/>
  <c r="AJ27" i="130"/>
  <c r="AJ28" i="130" s="1"/>
  <c r="AQ27" i="130"/>
  <c r="AQ28" i="130" s="1"/>
  <c r="AO53" i="130"/>
  <c r="AM52" i="130"/>
  <c r="AL55" i="130"/>
  <c r="AL56" i="130" s="1"/>
  <c r="AN40" i="130"/>
  <c r="AN41" i="130" s="1"/>
  <c r="AN42" i="130" s="1"/>
  <c r="AM41" i="130"/>
  <c r="AM42" i="130" s="1"/>
  <c r="AO27" i="130"/>
  <c r="AO28" i="130" s="1"/>
  <c r="AO52" i="130"/>
  <c r="AO75" i="130"/>
  <c r="Z12" i="130" l="1"/>
  <c r="Y12" i="130" s="1"/>
  <c r="AO55" i="130"/>
  <c r="AO56" i="130" s="1"/>
  <c r="AO82" i="130"/>
  <c r="AO85" i="130" s="1"/>
  <c r="AO86" i="130" s="1"/>
  <c r="AM55" i="130"/>
  <c r="AM56" i="130" s="1"/>
  <c r="Y1" i="130"/>
  <c r="Z1" i="130"/>
  <c r="AE1" i="130"/>
  <c r="AR1" i="130"/>
  <c r="AT1" i="130"/>
  <c r="AU1" i="130"/>
  <c r="AV1" i="130"/>
  <c r="AW1" i="130"/>
  <c r="AX1" i="130"/>
  <c r="Y2" i="130"/>
  <c r="Z2" i="130"/>
  <c r="AE2" i="130"/>
  <c r="AR2" i="130"/>
  <c r="AT2" i="130"/>
  <c r="AU2" i="130"/>
  <c r="AV2" i="130"/>
  <c r="AW2" i="130"/>
  <c r="AX2" i="130"/>
  <c r="Y3" i="130"/>
  <c r="Z3" i="130"/>
  <c r="AE3" i="130"/>
  <c r="AR3" i="130"/>
  <c r="AT3" i="130"/>
  <c r="AU3" i="130"/>
  <c r="AV3" i="130"/>
  <c r="AW3" i="130"/>
  <c r="AX3" i="130"/>
  <c r="Y4" i="130"/>
  <c r="Z4" i="130"/>
  <c r="AE4" i="130"/>
  <c r="AR4" i="130"/>
  <c r="AT4" i="130"/>
  <c r="AU4" i="130"/>
  <c r="AV4" i="130"/>
  <c r="AW4" i="130"/>
  <c r="AX4" i="130"/>
  <c r="Y5" i="130"/>
  <c r="Z5" i="130"/>
  <c r="AE5" i="130"/>
  <c r="AR5" i="130"/>
  <c r="AT5" i="130"/>
  <c r="AU5" i="130"/>
  <c r="AV5" i="130"/>
  <c r="AW5" i="130"/>
  <c r="AX5" i="130"/>
  <c r="Y6" i="130"/>
  <c r="Z6" i="130"/>
  <c r="AE6" i="130"/>
  <c r="AR6" i="130"/>
  <c r="AT6" i="130"/>
  <c r="AU6" i="130"/>
  <c r="AV6" i="130"/>
  <c r="AW6" i="130"/>
  <c r="AX6" i="130"/>
  <c r="Y7" i="130"/>
  <c r="Z7" i="130"/>
  <c r="AE7" i="130"/>
  <c r="AR7" i="130"/>
  <c r="AT7" i="130"/>
  <c r="AU7" i="130"/>
  <c r="AV7" i="130"/>
  <c r="AW7" i="130"/>
  <c r="AX7" i="130"/>
  <c r="AE8" i="130"/>
  <c r="AR8" i="130"/>
  <c r="AT8" i="130"/>
  <c r="AU8" i="130"/>
  <c r="AV8" i="130"/>
  <c r="AW8" i="130"/>
  <c r="AX8" i="130"/>
  <c r="Y9" i="130"/>
  <c r="Z9" i="130"/>
  <c r="AE9" i="130"/>
  <c r="AR9" i="130"/>
  <c r="AT9" i="130"/>
  <c r="AU9" i="130"/>
  <c r="AV9" i="130"/>
  <c r="AW9" i="130"/>
  <c r="AX9" i="130"/>
  <c r="Y10" i="130"/>
  <c r="Z10" i="130"/>
  <c r="AE10" i="130"/>
  <c r="AR10" i="130"/>
  <c r="AT10" i="130"/>
  <c r="AU10" i="130"/>
  <c r="AV10" i="130"/>
  <c r="AW10" i="130"/>
  <c r="AX10" i="130"/>
  <c r="AE11" i="130"/>
  <c r="AR11" i="130"/>
  <c r="AT11" i="130"/>
  <c r="AU11" i="130"/>
  <c r="AV11" i="130"/>
  <c r="AW11" i="130"/>
  <c r="AX11" i="130"/>
  <c r="AE12" i="130"/>
  <c r="AR12" i="130"/>
  <c r="AT12" i="130"/>
  <c r="AU12" i="130"/>
  <c r="AV12" i="130"/>
  <c r="AW12" i="130"/>
  <c r="AX12" i="130"/>
  <c r="Y13" i="130"/>
  <c r="Z13" i="130"/>
  <c r="AE13" i="130"/>
  <c r="AR13" i="130"/>
  <c r="AT13" i="130"/>
  <c r="AU13" i="130"/>
  <c r="AV13" i="130"/>
  <c r="AW13" i="130"/>
  <c r="AX13" i="130"/>
  <c r="Y14" i="130"/>
  <c r="Z14" i="130"/>
  <c r="AE14" i="130"/>
  <c r="AR14" i="130"/>
  <c r="AT14" i="130"/>
  <c r="AU14" i="130"/>
  <c r="AV14" i="130"/>
  <c r="AW14" i="130"/>
  <c r="AX14" i="130"/>
  <c r="A15" i="130"/>
  <c r="D15" i="130"/>
  <c r="F15" i="130"/>
  <c r="N15" i="130"/>
  <c r="O15" i="130"/>
  <c r="P15" i="130"/>
  <c r="Y15" i="130"/>
  <c r="Z15" i="130"/>
  <c r="AK15" i="130"/>
  <c r="AN15" i="130"/>
  <c r="AP15" i="130"/>
  <c r="AR15" i="130"/>
  <c r="A16" i="130"/>
  <c r="D16" i="130"/>
  <c r="F16" i="130"/>
  <c r="N16" i="130"/>
  <c r="O16" i="130"/>
  <c r="P16" i="130"/>
  <c r="Y16" i="130"/>
  <c r="Z16" i="130"/>
  <c r="AK16" i="130"/>
  <c r="AN16" i="130"/>
  <c r="AP16" i="130"/>
  <c r="AR16" i="130"/>
  <c r="A17" i="130"/>
  <c r="D17" i="130"/>
  <c r="F17" i="130"/>
  <c r="N17" i="130"/>
  <c r="O17" i="130"/>
  <c r="P17" i="130"/>
  <c r="Y17" i="130"/>
  <c r="Z17" i="130"/>
  <c r="AK17" i="130"/>
  <c r="AN17" i="130"/>
  <c r="AP17" i="130"/>
  <c r="AR17" i="130"/>
  <c r="A18" i="130"/>
  <c r="D18" i="130"/>
  <c r="F18" i="130"/>
  <c r="N18" i="130"/>
  <c r="O18" i="130"/>
  <c r="P18" i="130"/>
  <c r="Y18" i="130"/>
  <c r="Z18" i="130"/>
  <c r="AK18" i="130"/>
  <c r="AN18" i="130"/>
  <c r="AP18" i="130"/>
  <c r="AR18" i="130"/>
  <c r="A19" i="130"/>
  <c r="D19" i="130"/>
  <c r="F19" i="130"/>
  <c r="N19" i="130"/>
  <c r="O19" i="130"/>
  <c r="P19" i="130"/>
  <c r="Y19" i="130"/>
  <c r="Z19" i="130"/>
  <c r="AK19" i="130"/>
  <c r="AN19" i="130"/>
  <c r="AP19" i="130"/>
  <c r="AR19" i="130"/>
  <c r="A20" i="130"/>
  <c r="D20" i="130"/>
  <c r="F20" i="130"/>
  <c r="N20" i="130"/>
  <c r="O20" i="130"/>
  <c r="P20" i="130"/>
  <c r="Y20" i="130"/>
  <c r="Z20" i="130"/>
  <c r="AK20" i="130"/>
  <c r="AN20" i="130"/>
  <c r="AP20" i="130"/>
  <c r="AR20" i="130"/>
  <c r="A21" i="130"/>
  <c r="D21" i="130"/>
  <c r="F21" i="130"/>
  <c r="N21" i="130"/>
  <c r="O21" i="130"/>
  <c r="P21" i="130"/>
  <c r="AK21" i="130"/>
  <c r="AN21" i="130"/>
  <c r="AP21" i="130"/>
  <c r="AR21" i="130"/>
  <c r="A22" i="130"/>
  <c r="D22" i="130"/>
  <c r="F22" i="130"/>
  <c r="N22" i="130"/>
  <c r="O22" i="130"/>
  <c r="P22" i="130"/>
  <c r="AK22" i="130"/>
  <c r="AN22" i="130"/>
  <c r="AP22" i="130"/>
  <c r="AR22" i="130"/>
  <c r="A23" i="130"/>
  <c r="D23" i="130"/>
  <c r="F23" i="130"/>
  <c r="N23" i="130"/>
  <c r="O23" i="130"/>
  <c r="P23" i="130"/>
  <c r="AK23" i="130"/>
  <c r="AN23" i="130"/>
  <c r="AP23" i="130"/>
  <c r="AR23" i="130"/>
  <c r="A24" i="130"/>
  <c r="D24" i="130"/>
  <c r="F24" i="130"/>
  <c r="N24" i="130"/>
  <c r="O24" i="130"/>
  <c r="P24" i="130"/>
  <c r="AK24" i="130"/>
  <c r="AN24" i="130"/>
  <c r="AP24" i="130"/>
  <c r="AR24" i="130"/>
  <c r="A25" i="130"/>
  <c r="D25" i="130"/>
  <c r="F25" i="130"/>
  <c r="N25" i="130"/>
  <c r="O25" i="130"/>
  <c r="P25" i="130"/>
  <c r="AK25" i="130"/>
  <c r="AN25" i="130"/>
  <c r="AP25" i="130"/>
  <c r="AR25" i="130"/>
  <c r="A26" i="130"/>
  <c r="D26" i="130"/>
  <c r="F26" i="130"/>
  <c r="N26" i="130"/>
  <c r="O26" i="130"/>
  <c r="P26" i="130"/>
  <c r="AK26" i="130"/>
  <c r="AN26" i="130"/>
  <c r="AP26" i="130"/>
  <c r="AR26" i="130"/>
  <c r="D27" i="130"/>
  <c r="F27" i="130"/>
  <c r="N27" i="130"/>
  <c r="O27" i="130"/>
  <c r="P27" i="130"/>
  <c r="AK27" i="130"/>
  <c r="AN27" i="130"/>
  <c r="AP27" i="130"/>
  <c r="AR27" i="130"/>
  <c r="A28" i="130"/>
  <c r="D28" i="130"/>
  <c r="F28" i="130"/>
  <c r="N28" i="130"/>
  <c r="O28" i="130"/>
  <c r="P28" i="130"/>
  <c r="AK28" i="130"/>
  <c r="AN28" i="130"/>
  <c r="AP28" i="130"/>
  <c r="AR28" i="130"/>
  <c r="AE29" i="130"/>
  <c r="AH29" i="130"/>
  <c r="AJ29" i="130"/>
  <c r="AO29" i="130"/>
  <c r="AQ29" i="130"/>
  <c r="AE30" i="130"/>
  <c r="AH30" i="130"/>
  <c r="AJ30" i="130"/>
  <c r="AO30" i="130"/>
  <c r="AQ30" i="130"/>
  <c r="AE31" i="130"/>
  <c r="AH31" i="130"/>
  <c r="AJ31" i="130"/>
  <c r="AO31" i="130"/>
  <c r="AQ31" i="130"/>
  <c r="AE32" i="130"/>
  <c r="AH32" i="130"/>
  <c r="AJ32" i="130"/>
  <c r="AO32" i="130"/>
  <c r="AQ32" i="130"/>
  <c r="AE33" i="130"/>
  <c r="AH33" i="130"/>
  <c r="AJ33" i="130"/>
  <c r="AO33" i="130"/>
  <c r="AQ33" i="130"/>
  <c r="AE34" i="130"/>
  <c r="AH34" i="130"/>
  <c r="AJ34" i="130"/>
  <c r="AO34" i="130"/>
  <c r="AQ34" i="130"/>
  <c r="AE35" i="130"/>
  <c r="AH35" i="130"/>
  <c r="AJ35" i="130"/>
  <c r="AO35" i="130"/>
  <c r="AQ35" i="130"/>
  <c r="AE36" i="130"/>
  <c r="AH36" i="130"/>
  <c r="AJ36" i="130"/>
  <c r="AO36" i="130"/>
  <c r="AQ36" i="130"/>
  <c r="AE37" i="130"/>
  <c r="AH37" i="130"/>
  <c r="AJ37" i="130"/>
  <c r="AO37" i="130"/>
  <c r="AQ37" i="130"/>
  <c r="AE38" i="130"/>
  <c r="AH38" i="130"/>
  <c r="AJ38" i="130"/>
  <c r="AO38" i="130"/>
  <c r="AQ38" i="130"/>
  <c r="AE39" i="130"/>
  <c r="AH39" i="130"/>
  <c r="AJ39" i="130"/>
  <c r="AO39" i="130"/>
  <c r="AQ39" i="130"/>
  <c r="AE40" i="130"/>
  <c r="AH40" i="130"/>
  <c r="AJ40" i="130"/>
  <c r="AO40" i="130"/>
  <c r="AQ40" i="130"/>
  <c r="AE41" i="130"/>
  <c r="AH41" i="130"/>
  <c r="AJ41" i="130"/>
  <c r="AO41" i="130"/>
  <c r="AQ41" i="130"/>
  <c r="AE42" i="130"/>
  <c r="AH42" i="130"/>
  <c r="AJ42" i="130"/>
  <c r="AO42" i="130"/>
  <c r="AQ42" i="130"/>
  <c r="AH43" i="130"/>
  <c r="AN43" i="130"/>
  <c r="AP43" i="130"/>
  <c r="AH44" i="130"/>
  <c r="AN44" i="130"/>
  <c r="AP44" i="130"/>
  <c r="AH45" i="130"/>
  <c r="AN45" i="130"/>
  <c r="AP45" i="130"/>
  <c r="AH46" i="130"/>
  <c r="AN46" i="130"/>
  <c r="AP46" i="130"/>
  <c r="AH47" i="130"/>
  <c r="AN47" i="130"/>
  <c r="AP47" i="130"/>
  <c r="AH48" i="130"/>
  <c r="AN48" i="130"/>
  <c r="AP48" i="130"/>
  <c r="AH49" i="130"/>
  <c r="AN49" i="130"/>
  <c r="AP49" i="130"/>
  <c r="AH50" i="130"/>
  <c r="AN50" i="130"/>
  <c r="AP50" i="130"/>
  <c r="AH51" i="130"/>
  <c r="AN51" i="130"/>
  <c r="AP51" i="130"/>
  <c r="AH52" i="130"/>
  <c r="AN52" i="130"/>
  <c r="AP52" i="130"/>
  <c r="AH53" i="130"/>
  <c r="AN53" i="130"/>
  <c r="AP53" i="130"/>
  <c r="AH54" i="130"/>
  <c r="AN54" i="130"/>
  <c r="AP54" i="130"/>
  <c r="AH55" i="130"/>
  <c r="AN55" i="130"/>
  <c r="AP55" i="130"/>
  <c r="AH56" i="130"/>
  <c r="AN56" i="130"/>
  <c r="AP56" i="130"/>
  <c r="AE73" i="130"/>
  <c r="AG73" i="130"/>
  <c r="AH73" i="130"/>
  <c r="AI73" i="130"/>
  <c r="AK73" i="130"/>
  <c r="AL73" i="130"/>
  <c r="AM73" i="130"/>
  <c r="AN73" i="130"/>
  <c r="AP73" i="130"/>
  <c r="AQ73" i="130"/>
  <c r="AR73" i="130"/>
  <c r="AS73" i="130"/>
  <c r="AT73" i="130"/>
  <c r="AU73" i="130"/>
  <c r="AV73" i="130"/>
  <c r="AW73" i="130"/>
  <c r="AY73" i="130"/>
  <c r="AE74" i="130"/>
  <c r="AG74" i="130"/>
  <c r="AH74" i="130"/>
  <c r="AI74" i="130"/>
  <c r="AK74" i="130"/>
  <c r="AL74" i="130"/>
  <c r="AM74" i="130"/>
  <c r="AN74" i="130"/>
  <c r="AP74" i="130"/>
  <c r="AQ74" i="130"/>
  <c r="AR74" i="130"/>
  <c r="AS74" i="130"/>
  <c r="AT74" i="130"/>
  <c r="AU74" i="130"/>
  <c r="AV74" i="130"/>
  <c r="AW74" i="130"/>
  <c r="AY74" i="130"/>
  <c r="AE75" i="130"/>
  <c r="AG75" i="130"/>
  <c r="AH75" i="130"/>
  <c r="AI75" i="130"/>
  <c r="AK75" i="130"/>
  <c r="AL75" i="130"/>
  <c r="AM75" i="130"/>
  <c r="AN75" i="130"/>
  <c r="AP75" i="130"/>
  <c r="AQ75" i="130"/>
  <c r="AR75" i="130"/>
  <c r="AS75" i="130"/>
  <c r="AT75" i="130"/>
  <c r="AU75" i="130"/>
  <c r="AV75" i="130"/>
  <c r="AW75" i="130"/>
  <c r="AY75" i="130"/>
  <c r="AE76" i="130"/>
  <c r="AG76" i="130"/>
  <c r="AH76" i="130"/>
  <c r="AI76" i="130"/>
  <c r="AK76" i="130"/>
  <c r="AL76" i="130"/>
  <c r="AM76" i="130"/>
  <c r="AN76" i="130"/>
  <c r="AP76" i="130"/>
  <c r="AQ76" i="130"/>
  <c r="AR76" i="130"/>
  <c r="AS76" i="130"/>
  <c r="AT76" i="130"/>
  <c r="AU76" i="130"/>
  <c r="AV76" i="130"/>
  <c r="AW76" i="130"/>
  <c r="AY76" i="130"/>
  <c r="AE77" i="130"/>
  <c r="AG77" i="130"/>
  <c r="AH77" i="130"/>
  <c r="AI77" i="130"/>
  <c r="AK77" i="130"/>
  <c r="AL77" i="130"/>
  <c r="AM77" i="130"/>
  <c r="AN77" i="130"/>
  <c r="AP77" i="130"/>
  <c r="AQ77" i="130"/>
  <c r="AR77" i="130"/>
  <c r="AS77" i="130"/>
  <c r="AT77" i="130"/>
  <c r="AU77" i="130"/>
  <c r="AV77" i="130"/>
  <c r="AW77" i="130"/>
  <c r="AY77" i="130"/>
  <c r="AE78" i="130"/>
  <c r="AG78" i="130"/>
  <c r="AH78" i="130"/>
  <c r="AI78" i="130"/>
  <c r="AK78" i="130"/>
  <c r="AL78" i="130"/>
  <c r="AM78" i="130"/>
  <c r="AN78" i="130"/>
  <c r="AP78" i="130"/>
  <c r="AQ78" i="130"/>
  <c r="AR78" i="130"/>
  <c r="AS78" i="130"/>
  <c r="AT78" i="130"/>
  <c r="AU78" i="130"/>
  <c r="AV78" i="130"/>
  <c r="AW78" i="130"/>
  <c r="AY78" i="130"/>
  <c r="AE79" i="130"/>
  <c r="AG79" i="130"/>
  <c r="AH79" i="130"/>
  <c r="AI79" i="130"/>
  <c r="AK79" i="130"/>
  <c r="AL79" i="130"/>
  <c r="AM79" i="130"/>
  <c r="AN79" i="130"/>
  <c r="AP79" i="130"/>
  <c r="AQ79" i="130"/>
  <c r="AR79" i="130"/>
  <c r="AS79" i="130"/>
  <c r="AT79" i="130"/>
  <c r="AU79" i="130"/>
  <c r="AV79" i="130"/>
  <c r="AW79" i="130"/>
  <c r="AY79" i="130"/>
  <c r="AE80" i="130"/>
  <c r="AG80" i="130"/>
  <c r="AH80" i="130"/>
  <c r="AI80" i="130"/>
  <c r="AK80" i="130"/>
  <c r="AL80" i="130"/>
  <c r="AM80" i="130"/>
  <c r="AN80" i="130"/>
  <c r="AP80" i="130"/>
  <c r="AQ80" i="130"/>
  <c r="AR80" i="130"/>
  <c r="AS80" i="130"/>
  <c r="AT80" i="130"/>
  <c r="AU80" i="130"/>
  <c r="AV80" i="130"/>
  <c r="AW80" i="130"/>
  <c r="AY80" i="130"/>
  <c r="AE81" i="130"/>
  <c r="AG81" i="130"/>
  <c r="AH81" i="130"/>
  <c r="AI81" i="130"/>
  <c r="AK81" i="130"/>
  <c r="AL81" i="130"/>
  <c r="AM81" i="130"/>
  <c r="AN81" i="130"/>
  <c r="AP81" i="130"/>
  <c r="AQ81" i="130"/>
  <c r="AR81" i="130"/>
  <c r="AS81" i="130"/>
  <c r="AT81" i="130"/>
  <c r="AU81" i="130"/>
  <c r="AV81" i="130"/>
  <c r="AW81" i="130"/>
  <c r="AY81" i="130"/>
  <c r="AE82" i="130"/>
  <c r="AG82" i="130"/>
  <c r="AH82" i="130"/>
  <c r="AI82" i="130"/>
  <c r="AK82" i="130"/>
  <c r="AL82" i="130"/>
  <c r="AM82" i="130"/>
  <c r="AN82" i="130"/>
  <c r="AP82" i="130"/>
  <c r="AQ82" i="130"/>
  <c r="AR82" i="130"/>
  <c r="AS82" i="130"/>
  <c r="AT82" i="130"/>
  <c r="AU82" i="130"/>
  <c r="AV82" i="130"/>
  <c r="AW82" i="130"/>
  <c r="AY82" i="130"/>
  <c r="AE83" i="130"/>
  <c r="AG83" i="130"/>
  <c r="AH83" i="130"/>
  <c r="AI83" i="130"/>
  <c r="AK83" i="130"/>
  <c r="AL83" i="130"/>
  <c r="AM83" i="130"/>
  <c r="AN83" i="130"/>
  <c r="AP83" i="130"/>
  <c r="AQ83" i="130"/>
  <c r="AR83" i="130"/>
  <c r="AS83" i="130"/>
  <c r="AT83" i="130"/>
  <c r="AU83" i="130"/>
  <c r="AV83" i="130"/>
  <c r="AW83" i="130"/>
  <c r="AY83" i="130"/>
  <c r="AE84" i="130"/>
  <c r="AG84" i="130"/>
  <c r="AH84" i="130"/>
  <c r="AI84" i="130"/>
  <c r="AK84" i="130"/>
  <c r="AL84" i="130"/>
  <c r="AM84" i="130"/>
  <c r="AN84" i="130"/>
  <c r="AP84" i="130"/>
  <c r="AQ84" i="130"/>
  <c r="AR84" i="130"/>
  <c r="AS84" i="130"/>
  <c r="AT84" i="130"/>
  <c r="AU84" i="130"/>
  <c r="AV84" i="130"/>
  <c r="AW84" i="130"/>
  <c r="AY84" i="130"/>
  <c r="AE85" i="130"/>
  <c r="AG85" i="130"/>
  <c r="AH85" i="130"/>
  <c r="AI85" i="130"/>
  <c r="AK85" i="130"/>
  <c r="AL85" i="130"/>
  <c r="AM85" i="130"/>
  <c r="AN85" i="130"/>
  <c r="AP85" i="130"/>
  <c r="AT85" i="130"/>
  <c r="AU85" i="130"/>
  <c r="AV85" i="130"/>
  <c r="AE86" i="130"/>
  <c r="AG86" i="130"/>
  <c r="AH86" i="130"/>
  <c r="AI86" i="130"/>
  <c r="AK86" i="130"/>
  <c r="AL86" i="130"/>
  <c r="AM86" i="130"/>
  <c r="AN86" i="130"/>
  <c r="AP86" i="130"/>
  <c r="AT86" i="130"/>
  <c r="AU86" i="130"/>
  <c r="AV86" i="130"/>
</calcChain>
</file>

<file path=xl/sharedStrings.xml><?xml version="1.0" encoding="utf-8"?>
<sst xmlns="http://schemas.openxmlformats.org/spreadsheetml/2006/main" count="571" uniqueCount="96">
  <si>
    <t>-</t>
  </si>
  <si>
    <t>Yok</t>
  </si>
  <si>
    <t>Doğal Afet Yardımı</t>
  </si>
  <si>
    <t>Kıdem Yardımı</t>
  </si>
  <si>
    <t>SGK Prim Kesintisi</t>
  </si>
  <si>
    <t>SGK İşsizlik Primi Kesintisi</t>
  </si>
  <si>
    <t>Yemek Yardımı</t>
  </si>
  <si>
    <t>Sosyal Yardım</t>
  </si>
  <si>
    <t>Evlilik Yardımı</t>
  </si>
  <si>
    <t>Annelik İzni</t>
  </si>
  <si>
    <t>Analık Hâli İzni</t>
  </si>
  <si>
    <t>Babalık İzni</t>
  </si>
  <si>
    <t>Süt İzni</t>
  </si>
  <si>
    <t>Engelli Çocuk İzni</t>
  </si>
  <si>
    <t>Evlat Edinme İzni</t>
  </si>
  <si>
    <t>Doğal Afet İzni</t>
  </si>
  <si>
    <t>Ulaşım Yardımı</t>
  </si>
  <si>
    <t>Normal Çalışma</t>
  </si>
  <si>
    <t>BES Kesintisi</t>
  </si>
  <si>
    <t>Damga Vergisi Kesintisi</t>
  </si>
  <si>
    <t>Gelir Vergisi Kesintisi</t>
  </si>
  <si>
    <t>İkramiye Yardımı</t>
  </si>
  <si>
    <t>İş Kazası veya Meslek Hastalığı Tazminatı</t>
  </si>
  <si>
    <t>Nakdi Yardımlar</t>
  </si>
  <si>
    <t>Sendika Üyelik Aidatı Kesintisi</t>
  </si>
  <si>
    <t>Gıda Yardımı</t>
  </si>
  <si>
    <t>Ücretli Sendikal İzin ve Sendika Temsilci Sayısı</t>
  </si>
  <si>
    <t>İş Arama İzni</t>
  </si>
  <si>
    <t>Ücretli Yıllık İzin</t>
  </si>
  <si>
    <t>Kazançlar</t>
  </si>
  <si>
    <t>Kesintiler</t>
  </si>
  <si>
    <t>Cenaze İzni</t>
  </si>
  <si>
    <t>Evlilik İzni</t>
  </si>
  <si>
    <t>Mazeret İzni</t>
  </si>
  <si>
    <t>Yol İzni</t>
  </si>
  <si>
    <t>a) İşçinin eşinin doğum yapması hâlinde 5 takvim günü ücretli sosyal izin verilir.</t>
  </si>
  <si>
    <t>a) İşçinin ikamet ettiği konutun doğal afet nedeniyle hasara uğraması hâlinde 10 iş günü ücretli sosyal izin verilir.</t>
  </si>
  <si>
    <t>a) İşçinin evlenmesi hâlinde 7 iş günü ücretli sosyal izin verilir.
b) İşçinin çocuğunun evlenmesi hâlinde 0 iş günü ücretli sosyal izin verilir.
c) İşçinin evliliğinde, evlilik izninin hangi şekilde kullanılacağı işçinin talebi doğrultusunda değerlendirilir.</t>
  </si>
  <si>
    <t>a) İşçilere, gerekli ve geçerli mazeretleri hâlinde işverenin takdirine bağlı olarak yılda 6 iş günü ücretli sosyal izin verilir.
b) İşçilere, gerekli ve geçerli mazeretleri hâlinde işverenin takdirine bağlı olarak yılda 6 aya kadar ücretsiz sosyal izin verilebilir. Genel müdürün uygun görmesi hâlinde 12 aya kadar uzatılabilir.</t>
  </si>
  <si>
    <t>Askerlik Yardımı</t>
  </si>
  <si>
    <t>a) İşçinin eşinin veya çocuğunun vefatı hâlinde 5 iş günü ücretli sosyal izin verilir.
b) İşçinin annesinin, babasının veya kardeşinin vefatı hâlinde 5 iş günü ücretli sosyal izin verilir.
c) İşçinin eşinin annesinin, babasının veya kardeşinin vefatı hâlinde 5 iş günü ücretli sosyal izin verilir.
d) İşçinin amcasının, halasının, dayısının, teyzesinin, dedesinin veya ninesinin vefatı hâlinde 0 iş günü ücretli sosyal izin verilir.
e) Cenazenin il dışında olması veya il dışına götürülmesi hâlinde işçinin annesinin, babasının, kardeşinin, eşinin veya çocuğunun cenazesi için ilave 5 iş günü amcasının, halasının, dayısının, teyzesinin, dedesinin veya ninesinin cenazesi için ilave 0 iş günü ücretli sosyal izin verilir.
f) İşçilerden birinin vefatı hâlinde cenaze işlemleri veya katılımı için ihtiyaç kadar işçiye ücretli sosyal izin verilir.
g) Vefat eden kişi birden fazla personelin yakını ise cenaze izni her personele ayrı ayrı verilir.</t>
  </si>
  <si>
    <t>a) Yıllık ücretli izinleri işyerinin kurulu bulunduğu yerden başka bir yerde geçirecek olanlara istemde bulunmaları ve bu hususu belgelemeleri koşulu ile gidiş ve dönüşlerinde yolda geçecek süreleri karşılamak üzere işveren toplam 4 güne kadar ücretsiz yol izni vermek zorundadır.
(Yıllık Ücretli İzin Yönetmeliği / Madde 6)</t>
  </si>
  <si>
    <t>a) 01.01.2009 Tarihinden Önce İşe Başlayanlar İçin:
Hizmeti 6 ay olanlar için 0 iş günü ücretli yıllık izin verilir.
Hizmeti 1-5 yıl olanlar için 14 iş günü ücretli yıllık izin verilir.
Hizmeti 5-10 yıl olanlar için 23 iş günü ücretli yıllık izin verilir.
Hizmeti 10-15 yıl olanlar için 23 iş günü ücretli yıllık izin verilir.
Hizmeti 15 yıldan fazla olanlar için 26 iş günü ücretli yıllık izin verilir.
b) 01.01.2009 Tarihinden Sonra İşe Başlayanlar İçin:
Hizmeti 6 ay olanlar için 0 iş günü ücretli yıllık izin verilir.
Hizmeti 1-5 yıl olanlar için 14 iş günü ücretli yıllık izin verilir.
Hizmeti 5-10 yıl olanlar için 20 iş günü ücretli yıllık izin verilir.
Hizmeti 10-15 yıl olanlar için 20 iş günü ücretli yıllık izin verilir.
Hizmeti 15 yıldan fazla olanlar için 26 iş günü ücretli yıllık izin verilir.</t>
  </si>
  <si>
    <t>Yıllık Ortalama</t>
  </si>
  <si>
    <t xml:space="preserve">   Yemek Yardımı</t>
  </si>
  <si>
    <t>Cenaze Yardımı (Anne-Baba)</t>
  </si>
  <si>
    <t>Cenaze Yardımı (Eş-Çocuk)</t>
  </si>
  <si>
    <t>Cenaze Yardımı (İşçi-İş Kazası Sonucu)</t>
  </si>
  <si>
    <t>Cenaze Yardımı (İşçi-Tabii Sebepler Sonucu)</t>
  </si>
  <si>
    <t>Eğitim Yardımı (İşçi-Lise)</t>
  </si>
  <si>
    <t>Eğitim Yardımı (İşçi-Yükseköğretim)</t>
  </si>
  <si>
    <t>Eğitim Yardımı (Çocuk-İlköğretim)</t>
  </si>
  <si>
    <t>Eğitim Yardımı (Çocuk-Ortaöğretim)</t>
  </si>
  <si>
    <t>Eğitim Yardımı (Çocuk-Lise)</t>
  </si>
  <si>
    <t>Eğitim Yardımı (Çocuk-Yükseköğretim)</t>
  </si>
  <si>
    <t xml:space="preserve">   Toplam Kazanç
   Net</t>
  </si>
  <si>
    <t>İşveren Maliyeti</t>
  </si>
  <si>
    <r>
      <t xml:space="preserve">   Sonraki Ayın 1'inde
   </t>
    </r>
    <r>
      <rPr>
        <b/>
        <sz val="16"/>
        <rFont val="Calibri"/>
        <family val="2"/>
        <charset val="162"/>
        <scheme val="minor"/>
      </rPr>
      <t>Net</t>
    </r>
  </si>
  <si>
    <t>a) 3 yaşını doldurmamış çocuğu evlat edinen eşlerden birine veya evlat edinene çocuğun aileye fiilen teslim edildiği tarihten itibaren 8 hafta analık hâli izni kullandırılır.
(4857 sayılı İş Kanunu / Madde 74)</t>
  </si>
  <si>
    <t>Miktar</t>
  </si>
  <si>
    <t xml:space="preserve">   BES Kesintisi</t>
  </si>
  <si>
    <t>Toplam</t>
  </si>
  <si>
    <t>Ortalama</t>
  </si>
  <si>
    <t>Fazla Çalışma (% 50)</t>
  </si>
  <si>
    <t>Fazla Sürelerle Çalışma (% 25)</t>
  </si>
  <si>
    <t>Resmi Tatillerde Çalışma (% 100)</t>
  </si>
  <si>
    <t>Gece Çalışma (% 12)</t>
  </si>
  <si>
    <r>
      <t xml:space="preserve">   Resmi Tatillerde Çalışma
   </t>
    </r>
    <r>
      <rPr>
        <b/>
        <sz val="16"/>
        <rFont val="Calibri"/>
        <family val="2"/>
        <charset val="162"/>
        <scheme val="minor"/>
      </rPr>
      <t>% 100</t>
    </r>
  </si>
  <si>
    <r>
      <t xml:space="preserve">   Sonraki Ayın 15'inde
   Fazla Çalışma (Gündüz-Gece-Resmi Tatil)
   Yemek Yardımı
   </t>
    </r>
    <r>
      <rPr>
        <b/>
        <sz val="16"/>
        <rFont val="Calibri"/>
        <family val="2"/>
        <charset val="162"/>
        <scheme val="minor"/>
      </rPr>
      <t>Net</t>
    </r>
  </si>
  <si>
    <t xml:space="preserve">   Engellilik İndirimi</t>
  </si>
  <si>
    <t>Ocak</t>
  </si>
  <si>
    <t>Şubat</t>
  </si>
  <si>
    <t>Mart</t>
  </si>
  <si>
    <t>Nisan</t>
  </si>
  <si>
    <t>Mayıs</t>
  </si>
  <si>
    <t>Haziran</t>
  </si>
  <si>
    <t>Temmuz</t>
  </si>
  <si>
    <t>Ağustos</t>
  </si>
  <si>
    <t>Eylül</t>
  </si>
  <si>
    <t>Ekim</t>
  </si>
  <si>
    <t>Kasım</t>
  </si>
  <si>
    <t>Aralık</t>
  </si>
  <si>
    <r>
      <t xml:space="preserve">  Aylık Kök Ücret
  </t>
    </r>
    <r>
      <rPr>
        <b/>
        <sz val="16"/>
        <rFont val="Calibri"/>
        <family val="2"/>
        <charset val="162"/>
        <scheme val="minor"/>
      </rPr>
      <t>Brüt</t>
    </r>
  </si>
  <si>
    <r>
      <t xml:space="preserve">  Aylık Kök Ücret
  </t>
    </r>
    <r>
      <rPr>
        <b/>
        <sz val="16"/>
        <rFont val="Calibri"/>
        <family val="2"/>
        <charset val="162"/>
        <scheme val="minor"/>
      </rPr>
      <t>Net</t>
    </r>
  </si>
  <si>
    <r>
      <t xml:space="preserve">  Günlük Kök Ücret
  </t>
    </r>
    <r>
      <rPr>
        <b/>
        <sz val="16"/>
        <rFont val="Calibri"/>
        <family val="2"/>
        <charset val="162"/>
        <scheme val="minor"/>
      </rPr>
      <t>Brüt</t>
    </r>
  </si>
  <si>
    <r>
      <t xml:space="preserve">  Günlük Kök Ücret
  </t>
    </r>
    <r>
      <rPr>
        <b/>
        <sz val="16"/>
        <rFont val="Calibri"/>
        <family val="2"/>
        <charset val="162"/>
        <scheme val="minor"/>
      </rPr>
      <t>Net</t>
    </r>
  </si>
  <si>
    <r>
      <t xml:space="preserve">   Sosyal Yardım
   </t>
    </r>
    <r>
      <rPr>
        <b/>
        <sz val="16"/>
        <rFont val="Calibri"/>
        <family val="2"/>
        <charset val="162"/>
        <scheme val="minor"/>
      </rPr>
      <t>Brüt</t>
    </r>
  </si>
  <si>
    <t>Kapsam Dışı</t>
  </si>
  <si>
    <r>
      <t xml:space="preserve">   Fazla Çalışma
   </t>
    </r>
    <r>
      <rPr>
        <b/>
        <sz val="16"/>
        <rFont val="Calibri"/>
        <family val="2"/>
        <charset val="162"/>
        <scheme val="minor"/>
      </rPr>
      <t>% 50</t>
    </r>
  </si>
  <si>
    <r>
      <t xml:space="preserve">   Fazla Sürelerle Çalışma
   </t>
    </r>
    <r>
      <rPr>
        <b/>
        <sz val="16"/>
        <rFont val="Calibri"/>
        <family val="2"/>
        <charset val="162"/>
        <scheme val="minor"/>
      </rPr>
      <t>% 25</t>
    </r>
  </si>
  <si>
    <r>
      <t xml:space="preserve">a) Kadın işçilerin </t>
    </r>
    <r>
      <rPr>
        <b/>
        <sz val="16"/>
        <color theme="0"/>
        <rFont val="Calibri"/>
        <family val="2"/>
        <charset val="162"/>
        <scheme val="minor"/>
      </rPr>
      <t>doğumdan önce 8 ve doğumdan sonra 8 hafta</t>
    </r>
    <r>
      <rPr>
        <sz val="16"/>
        <color theme="0"/>
        <rFont val="Calibri"/>
        <family val="2"/>
        <charset val="162"/>
        <scheme val="minor"/>
      </rPr>
      <t xml:space="preserve"> olmak üzere toplam 16 haftalık süre için çalıştırılmamaları esastır.
(4857 sayılı İş Kanunu / Madde 74)</t>
    </r>
  </si>
  <si>
    <r>
      <t xml:space="preserve">a) İşçilerin en az %70 oranında engelli veya süreğen hastalığı olan çocuğunun tedavisinde, hastalık raporuna dayalı olarak ve çalışan ebeveynden sadece biri tarafından kullanılması kaydıyla, </t>
    </r>
    <r>
      <rPr>
        <b/>
        <sz val="16"/>
        <color theme="0"/>
        <rFont val="Calibri"/>
        <family val="2"/>
        <charset val="162"/>
        <scheme val="minor"/>
      </rPr>
      <t>bir yıl içinde toptan veya bölümler hâlinde 10 güne kadar</t>
    </r>
    <r>
      <rPr>
        <sz val="16"/>
        <color theme="0"/>
        <rFont val="Calibri"/>
        <family val="2"/>
        <charset val="162"/>
        <scheme val="minor"/>
      </rPr>
      <t xml:space="preserve"> ücretli izin verilir.
(4857 sayılı İş Kanunu / Ek Madde 2)</t>
    </r>
  </si>
  <si>
    <r>
      <t xml:space="preserve">a) İşçiye; evlat edinmesi hâlinde </t>
    </r>
    <r>
      <rPr>
        <b/>
        <sz val="16"/>
        <color theme="0"/>
        <rFont val="Calibri"/>
        <family val="2"/>
        <charset val="162"/>
        <scheme val="minor"/>
      </rPr>
      <t>3 gün</t>
    </r>
    <r>
      <rPr>
        <sz val="16"/>
        <color theme="0"/>
        <rFont val="Calibri"/>
        <family val="2"/>
        <charset val="162"/>
        <scheme val="minor"/>
      </rPr>
      <t xml:space="preserve"> ücretli izin verilir.
(4857 sayılı İş Kanunu / Ek Madde 2)</t>
    </r>
  </si>
  <si>
    <r>
      <t xml:space="preserve">a) Bildirim süreleri içinde işveren, işçiye yeni bir iş bulması için gerekli olan iş arama iznini iş saatleri içinde ve ücret kesintisi yapmadan vermeye mecburdur. İş arama izninin süresi </t>
    </r>
    <r>
      <rPr>
        <b/>
        <sz val="16"/>
        <color theme="0"/>
        <rFont val="Calibri"/>
        <family val="2"/>
        <charset val="162"/>
        <scheme val="minor"/>
      </rPr>
      <t>günde 2 saatten az olamaz</t>
    </r>
    <r>
      <rPr>
        <sz val="16"/>
        <color theme="0"/>
        <rFont val="Calibri"/>
        <family val="2"/>
        <charset val="162"/>
        <scheme val="minor"/>
      </rPr>
      <t xml:space="preserve"> ve işçi isterse iş arama izin saatlerini birleştirerek toplu kullanabilir.
(4857 sayılı İş Kanunu / Madde 27)</t>
    </r>
  </si>
  <si>
    <r>
      <t xml:space="preserve">a) Kadın işçilere bir yaşından küçük çocuklarını emzirmeleri için </t>
    </r>
    <r>
      <rPr>
        <b/>
        <sz val="16"/>
        <color theme="0"/>
        <rFont val="Calibri"/>
        <family val="2"/>
        <charset val="162"/>
        <scheme val="minor"/>
      </rPr>
      <t>günde toplam 1,5 saat</t>
    </r>
    <r>
      <rPr>
        <sz val="16"/>
        <color theme="0"/>
        <rFont val="Calibri"/>
        <family val="2"/>
        <charset val="162"/>
        <scheme val="minor"/>
      </rPr>
      <t xml:space="preserve"> süt izni verilir.
(4857 sayılı İş Kanunu / Madde 74)</t>
    </r>
  </si>
  <si>
    <r>
      <t xml:space="preserve">a) İşyerinde işçi sayısı 50’ye kadar ise yıllık en fazla 20 iş günü ücretli izin verilir.
İşyerinde işçi sayısı 51 ile 100 arasında ise yıllık en fazla 30 iş günü ücretli izin verilir.
İşyerinde işçi sayısı 101 ile 200 arasında ise yıllık en fazla 40 iş günü ücretli izin verilir.
İşyerinde işçi sayısı 201 ile 500 arasında ise yıllık en fazla 60 iş günü ücretli izin verilir.
İşyerinde işçi sayısı 501 ile 1000 arasında ise yıllık en fazla 80 iş günü ücretli izin verilir.
İşyerinde işçi sayısı 1000 işçiden fazla ise yıllık en fazla işçi sayısının % 10'u kadar iş günü ücretli sendikal izin verilir.
(6. Dönem Toplu İş Sözleşmesi / Madde 36)
b) Sendikal faaliyetler için sendikanın yazılı talebi üzerine ve işverenin hizmetlerini aksatmamak suretiyle, işçilere ayrı ayrı olmadan çalışan kişi sayısı karşılığına gelen gün kadar yıllık ücretli sendikal izin verilir.
c) Temsilcilik görevlerini yerine getirmeleri için baştemsilciye haftada 1 gün, diğer temsilcilere ayda 1’er gün ücretli sendikal izin verilir.
d) Toplu iş sözleşmesi yapmak üzere yetkisi kesinleşen sendika; 
işyerinde işçi sayısı </t>
    </r>
    <r>
      <rPr>
        <b/>
        <sz val="16"/>
        <color theme="0"/>
        <rFont val="Calibri"/>
        <family val="2"/>
        <charset val="162"/>
        <scheme val="minor"/>
      </rPr>
      <t>50’ye kadar ise 1</t>
    </r>
    <r>
      <rPr>
        <sz val="16"/>
        <color theme="0"/>
        <rFont val="Calibri"/>
        <family val="2"/>
        <charset val="162"/>
        <scheme val="minor"/>
      </rPr>
      <t xml:space="preserve">,
</t>
    </r>
    <r>
      <rPr>
        <b/>
        <sz val="16"/>
        <color theme="0"/>
        <rFont val="Calibri"/>
        <family val="2"/>
        <charset val="162"/>
        <scheme val="minor"/>
      </rPr>
      <t>51 ile 100 arasında</t>
    </r>
    <r>
      <rPr>
        <sz val="16"/>
        <color theme="0"/>
        <rFont val="Calibri"/>
        <family val="2"/>
        <charset val="162"/>
        <scheme val="minor"/>
      </rPr>
      <t xml:space="preserve"> ise </t>
    </r>
    <r>
      <rPr>
        <b/>
        <sz val="16"/>
        <color theme="0"/>
        <rFont val="Calibri"/>
        <family val="2"/>
        <charset val="162"/>
        <scheme val="minor"/>
      </rPr>
      <t>en çok 2</t>
    </r>
    <r>
      <rPr>
        <sz val="16"/>
        <color theme="0"/>
        <rFont val="Calibri"/>
        <family val="2"/>
        <charset val="162"/>
        <scheme val="minor"/>
      </rPr>
      <t xml:space="preserve">,
</t>
    </r>
    <r>
      <rPr>
        <b/>
        <sz val="16"/>
        <color theme="0"/>
        <rFont val="Calibri"/>
        <family val="2"/>
        <charset val="162"/>
        <scheme val="minor"/>
      </rPr>
      <t>101 ile 500 arasında</t>
    </r>
    <r>
      <rPr>
        <sz val="16"/>
        <color theme="0"/>
        <rFont val="Calibri"/>
        <family val="2"/>
        <charset val="162"/>
        <scheme val="minor"/>
      </rPr>
      <t xml:space="preserve"> ise </t>
    </r>
    <r>
      <rPr>
        <b/>
        <sz val="16"/>
        <color theme="0"/>
        <rFont val="Calibri"/>
        <family val="2"/>
        <charset val="162"/>
        <scheme val="minor"/>
      </rPr>
      <t>en çok 3</t>
    </r>
    <r>
      <rPr>
        <sz val="16"/>
        <color theme="0"/>
        <rFont val="Calibri"/>
        <family val="2"/>
        <charset val="162"/>
        <scheme val="minor"/>
      </rPr>
      <t xml:space="preserve">,
</t>
    </r>
    <r>
      <rPr>
        <b/>
        <sz val="16"/>
        <color theme="0"/>
        <rFont val="Calibri"/>
        <family val="2"/>
        <charset val="162"/>
        <scheme val="minor"/>
      </rPr>
      <t>501 ile 1000 arasında</t>
    </r>
    <r>
      <rPr>
        <sz val="16"/>
        <color theme="0"/>
        <rFont val="Calibri"/>
        <family val="2"/>
        <charset val="162"/>
        <scheme val="minor"/>
      </rPr>
      <t xml:space="preserve"> ise </t>
    </r>
    <r>
      <rPr>
        <b/>
        <sz val="16"/>
        <color theme="0"/>
        <rFont val="Calibri"/>
        <family val="2"/>
        <charset val="162"/>
        <scheme val="minor"/>
      </rPr>
      <t>en çok 4</t>
    </r>
    <r>
      <rPr>
        <sz val="16"/>
        <color theme="0"/>
        <rFont val="Calibri"/>
        <family val="2"/>
        <charset val="162"/>
        <scheme val="minor"/>
      </rPr>
      <t xml:space="preserve">,
</t>
    </r>
    <r>
      <rPr>
        <b/>
        <sz val="16"/>
        <color theme="0"/>
        <rFont val="Calibri"/>
        <family val="2"/>
        <charset val="162"/>
        <scheme val="minor"/>
      </rPr>
      <t>1001 ile 2000 arasında</t>
    </r>
    <r>
      <rPr>
        <sz val="16"/>
        <color theme="0"/>
        <rFont val="Calibri"/>
        <family val="2"/>
        <charset val="162"/>
        <scheme val="minor"/>
      </rPr>
      <t xml:space="preserve"> ise </t>
    </r>
    <r>
      <rPr>
        <b/>
        <sz val="16"/>
        <color theme="0"/>
        <rFont val="Calibri"/>
        <family val="2"/>
        <charset val="162"/>
        <scheme val="minor"/>
      </rPr>
      <t>en çok 6</t>
    </r>
    <r>
      <rPr>
        <sz val="16"/>
        <color theme="0"/>
        <rFont val="Calibri"/>
        <family val="2"/>
        <charset val="162"/>
        <scheme val="minor"/>
      </rPr>
      <t xml:space="preserve">,
</t>
    </r>
    <r>
      <rPr>
        <b/>
        <sz val="16"/>
        <color theme="0"/>
        <rFont val="Calibri"/>
        <family val="2"/>
        <charset val="162"/>
        <scheme val="minor"/>
      </rPr>
      <t>2000’den fazla</t>
    </r>
    <r>
      <rPr>
        <sz val="16"/>
        <color theme="0"/>
        <rFont val="Calibri"/>
        <family val="2"/>
        <charset val="162"/>
        <scheme val="minor"/>
      </rPr>
      <t xml:space="preserve"> ise </t>
    </r>
    <r>
      <rPr>
        <b/>
        <sz val="16"/>
        <color theme="0"/>
        <rFont val="Calibri"/>
        <family val="2"/>
        <charset val="162"/>
        <scheme val="minor"/>
      </rPr>
      <t>en çok 8</t>
    </r>
    <r>
      <rPr>
        <sz val="16"/>
        <color theme="0"/>
        <rFont val="Calibri"/>
        <family val="2"/>
        <charset val="162"/>
        <scheme val="minor"/>
      </rPr>
      <t xml:space="preserve"> işyeri sendika temsilcisini işyerinde çalışan üyeleri arasından atayarak </t>
    </r>
    <r>
      <rPr>
        <b/>
        <sz val="16"/>
        <color theme="0"/>
        <rFont val="Calibri"/>
        <family val="2"/>
        <charset val="162"/>
        <scheme val="minor"/>
      </rPr>
      <t>15 gün içinde</t>
    </r>
    <r>
      <rPr>
        <sz val="16"/>
        <color theme="0"/>
        <rFont val="Calibri"/>
        <family val="2"/>
        <charset val="162"/>
        <scheme val="minor"/>
      </rPr>
      <t xml:space="preserve"> kimliklerini işverene bildirir. Bunlardan </t>
    </r>
    <r>
      <rPr>
        <b/>
        <sz val="16"/>
        <color theme="0"/>
        <rFont val="Calibri"/>
        <family val="2"/>
        <charset val="162"/>
        <scheme val="minor"/>
      </rPr>
      <t>biri baş temsilci</t>
    </r>
    <r>
      <rPr>
        <sz val="16"/>
        <color theme="0"/>
        <rFont val="Calibri"/>
        <family val="2"/>
        <charset val="162"/>
        <scheme val="minor"/>
      </rPr>
      <t xml:space="preserve"> olarak görevlendirilebilir. Temsilcilerin görevi, sendikanın yetkisi süresince devam eder.
(6356 sayılı Sendikalar ve Toplu İş Sözleşmesi Kanunu / Madde 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</si>
</sst>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d/mm/yyyy;@"/>
    <numFmt numFmtId="165" formatCode="0\ &quot;Gün&quot;"/>
    <numFmt numFmtId="166" formatCode="0\ &quot;Yıl&quot;"/>
    <numFmt numFmtId="167" formatCode="#,##0.00\ &quot;₺&quot;"/>
    <numFmt numFmtId="168" formatCode="0.000000"/>
    <numFmt numFmtId="169" formatCode="%\ 0"/>
    <numFmt numFmtId="170" formatCode="%\ 0.00"/>
    <numFmt numFmtId="171" formatCode="0.0\ &quot;Saat&quot;"/>
    <numFmt numFmtId="172" formatCode="0.0000000"/>
    <numFmt numFmtId="173" formatCode="0.0"/>
  </numFmts>
  <fonts count="16" x14ac:knownFonts="1">
    <font>
      <sz val="11"/>
      <color rgb="FF000000"/>
      <name val="Calibri"/>
      <family val="2"/>
      <charset val="1"/>
    </font>
    <font>
      <sz val="11"/>
      <color rgb="FF000000"/>
      <name val="Calibri"/>
      <family val="2"/>
      <charset val="162"/>
    </font>
    <font>
      <sz val="11"/>
      <color rgb="FF000000"/>
      <name val="Calibri"/>
      <family val="2"/>
      <charset val="1"/>
    </font>
    <font>
      <sz val="10"/>
      <name val="Arial Tur"/>
      <charset val="162"/>
    </font>
    <font>
      <sz val="8"/>
      <name val="Calibri"/>
      <family val="2"/>
      <charset val="1"/>
    </font>
    <font>
      <sz val="16"/>
      <name val="Calibri"/>
      <family val="2"/>
      <charset val="162"/>
      <scheme val="minor"/>
    </font>
    <font>
      <b/>
      <sz val="16"/>
      <name val="Calibri"/>
      <family val="2"/>
      <charset val="162"/>
      <scheme val="minor"/>
    </font>
    <font>
      <sz val="16"/>
      <color rgb="FFFF0000"/>
      <name val="Calibri"/>
      <family val="2"/>
      <charset val="162"/>
      <scheme val="minor"/>
    </font>
    <font>
      <b/>
      <sz val="22"/>
      <name val="Calibri"/>
      <family val="2"/>
      <charset val="162"/>
      <scheme val="minor"/>
    </font>
    <font>
      <b/>
      <sz val="22"/>
      <color rgb="FFFF0000"/>
      <name val="Calibri"/>
      <family val="2"/>
      <charset val="162"/>
      <scheme val="minor"/>
    </font>
    <font>
      <sz val="15"/>
      <name val="Calibri"/>
      <family val="2"/>
      <charset val="162"/>
      <scheme val="minor"/>
    </font>
    <font>
      <sz val="14"/>
      <name val="Calibri"/>
      <family val="2"/>
      <charset val="162"/>
      <scheme val="minor"/>
    </font>
    <font>
      <sz val="26"/>
      <name val="Calibri"/>
      <family val="2"/>
      <charset val="162"/>
      <scheme val="minor"/>
    </font>
    <font>
      <sz val="16"/>
      <color theme="0"/>
      <name val="Calibri"/>
      <family val="2"/>
      <charset val="162"/>
      <scheme val="minor"/>
    </font>
    <font>
      <b/>
      <sz val="16"/>
      <color theme="0"/>
      <name val="Calibri"/>
      <family val="2"/>
      <charset val="162"/>
      <scheme val="minor"/>
    </font>
    <font>
      <sz val="16"/>
      <color theme="1"/>
      <name val="Calibri"/>
      <family val="2"/>
      <charset val="162"/>
      <scheme val="minor"/>
    </font>
  </fonts>
  <fills count="6">
    <fill>
      <patternFill patternType="none"/>
    </fill>
    <fill>
      <patternFill patternType="gray125"/>
    </fill>
    <fill>
      <patternFill patternType="solid">
        <fgColor theme="0" tint="-0.14999847407452621"/>
        <bgColor indexed="64"/>
      </patternFill>
    </fill>
    <fill>
      <patternFill patternType="solid">
        <fgColor rgb="FFC8E1B4"/>
        <bgColor indexed="64"/>
      </patternFill>
    </fill>
    <fill>
      <patternFill patternType="solid">
        <fgColor theme="8" tint="0.79998168889431442"/>
        <bgColor indexed="64"/>
      </patternFill>
    </fill>
    <fill>
      <patternFill patternType="solid">
        <fgColor rgb="FFDAEEF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6">
    <xf numFmtId="0" fontId="0" fillId="0" borderId="0"/>
    <xf numFmtId="0" fontId="1" fillId="0" borderId="0"/>
    <xf numFmtId="0" fontId="3" fillId="0" borderId="0"/>
    <xf numFmtId="0" fontId="2" fillId="0" borderId="0"/>
    <xf numFmtId="9" fontId="3" fillId="0" borderId="0" applyFont="0" applyFill="0" applyBorder="0" applyAlignment="0" applyProtection="0"/>
    <xf numFmtId="0" fontId="3" fillId="0" borderId="0" applyFont="0" applyFill="0" applyBorder="0" applyAlignment="0" applyProtection="0"/>
  </cellStyleXfs>
  <cellXfs count="67">
    <xf numFmtId="0" fontId="0" fillId="0" borderId="0" xfId="0"/>
    <xf numFmtId="2" fontId="12" fillId="3" borderId="1" xfId="2" applyNumberFormat="1" applyFont="1" applyFill="1" applyBorder="1" applyAlignment="1" applyProtection="1">
      <alignment horizontal="center" vertical="center" textRotation="90" wrapText="1"/>
      <protection hidden="1"/>
    </xf>
    <xf numFmtId="2" fontId="5" fillId="2" borderId="1" xfId="2" applyNumberFormat="1" applyFont="1" applyFill="1" applyBorder="1" applyAlignment="1" applyProtection="1">
      <alignment horizontal="center" textRotation="90" wrapText="1"/>
      <protection hidden="1"/>
    </xf>
    <xf numFmtId="2" fontId="5" fillId="2" borderId="1" xfId="0" applyNumberFormat="1" applyFont="1" applyFill="1" applyBorder="1" applyAlignment="1" applyProtection="1">
      <alignment horizontal="center" textRotation="90" wrapText="1"/>
      <protection hidden="1"/>
    </xf>
    <xf numFmtId="2" fontId="7" fillId="2" borderId="1" xfId="2" applyNumberFormat="1" applyFont="1" applyFill="1" applyBorder="1" applyAlignment="1" applyProtection="1">
      <alignment horizontal="center" textRotation="90" wrapText="1"/>
      <protection hidden="1"/>
    </xf>
    <xf numFmtId="0" fontId="5" fillId="2" borderId="1" xfId="2" applyFont="1" applyFill="1" applyBorder="1" applyAlignment="1" applyProtection="1">
      <alignment horizontal="center" vertical="center" wrapText="1"/>
      <protection hidden="1"/>
    </xf>
    <xf numFmtId="0" fontId="5" fillId="2" borderId="5" xfId="0" applyFont="1" applyFill="1" applyBorder="1" applyAlignment="1" applyProtection="1">
      <alignment horizontal="center" vertical="center" wrapText="1"/>
      <protection hidden="1"/>
    </xf>
    <xf numFmtId="0" fontId="5" fillId="2" borderId="6" xfId="0" applyFont="1" applyFill="1" applyBorder="1" applyAlignment="1" applyProtection="1">
      <alignment horizontal="center" vertical="center" wrapText="1"/>
      <protection hidden="1"/>
    </xf>
    <xf numFmtId="0" fontId="5" fillId="2" borderId="7" xfId="0" applyFont="1" applyFill="1" applyBorder="1" applyAlignment="1" applyProtection="1">
      <alignment horizontal="center" vertical="center" wrapText="1"/>
      <protection hidden="1"/>
    </xf>
    <xf numFmtId="0" fontId="5" fillId="2" borderId="1" xfId="2" applyFont="1" applyFill="1" applyBorder="1" applyAlignment="1" applyProtection="1">
      <alignment horizontal="center" vertical="center" wrapText="1"/>
      <protection hidden="1"/>
    </xf>
    <xf numFmtId="0" fontId="5" fillId="0" borderId="0" xfId="2" applyFont="1" applyAlignment="1" applyProtection="1">
      <alignment horizontal="center" vertical="center" wrapText="1"/>
      <protection hidden="1"/>
    </xf>
    <xf numFmtId="0" fontId="5" fillId="2" borderId="8" xfId="0" applyFont="1" applyFill="1" applyBorder="1" applyAlignment="1" applyProtection="1">
      <alignment horizontal="center" vertical="center" wrapText="1"/>
      <protection hidden="1"/>
    </xf>
    <xf numFmtId="0" fontId="5" fillId="2" borderId="0" xfId="0" applyFont="1" applyFill="1" applyAlignment="1" applyProtection="1">
      <alignment horizontal="left" vertical="center" wrapText="1"/>
      <protection hidden="1"/>
    </xf>
    <xf numFmtId="0" fontId="5" fillId="2" borderId="9" xfId="0" applyFont="1" applyFill="1" applyBorder="1" applyAlignment="1" applyProtection="1">
      <alignment horizontal="center" vertical="center" wrapText="1"/>
      <protection hidden="1"/>
    </xf>
    <xf numFmtId="4" fontId="5" fillId="2" borderId="1" xfId="2" applyNumberFormat="1" applyFont="1" applyFill="1" applyBorder="1" applyAlignment="1" applyProtection="1">
      <alignment horizontal="center" vertical="center" wrapText="1"/>
      <protection hidden="1"/>
    </xf>
    <xf numFmtId="170" fontId="10" fillId="2" borderId="1" xfId="2" applyNumberFormat="1" applyFont="1" applyFill="1" applyBorder="1" applyAlignment="1" applyProtection="1">
      <alignment horizontal="center" vertical="center" wrapText="1"/>
      <protection hidden="1"/>
    </xf>
    <xf numFmtId="2" fontId="5" fillId="2" borderId="1" xfId="0" applyNumberFormat="1" applyFont="1" applyFill="1" applyBorder="1" applyAlignment="1" applyProtection="1">
      <alignment horizontal="center" vertical="center" wrapText="1"/>
      <protection hidden="1"/>
    </xf>
    <xf numFmtId="4" fontId="5" fillId="3" borderId="1" xfId="2" applyNumberFormat="1" applyFont="1" applyFill="1" applyBorder="1" applyAlignment="1" applyProtection="1">
      <alignment horizontal="center" vertical="center" wrapText="1"/>
      <protection hidden="1"/>
    </xf>
    <xf numFmtId="4" fontId="5" fillId="5" borderId="1" xfId="2" applyNumberFormat="1" applyFont="1" applyFill="1" applyBorder="1" applyAlignment="1" applyProtection="1">
      <alignment horizontal="center" vertical="center" wrapText="1"/>
      <protection hidden="1"/>
    </xf>
    <xf numFmtId="4" fontId="8" fillId="4" borderId="1" xfId="2" applyNumberFormat="1" applyFont="1" applyFill="1" applyBorder="1" applyAlignment="1" applyProtection="1">
      <alignment horizontal="center" vertical="center" wrapText="1"/>
      <protection hidden="1"/>
    </xf>
    <xf numFmtId="4" fontId="9" fillId="4" borderId="1" xfId="2" applyNumberFormat="1" applyFont="1" applyFill="1" applyBorder="1" applyAlignment="1" applyProtection="1">
      <alignment horizontal="center" vertical="center" wrapText="1"/>
      <protection hidden="1"/>
    </xf>
    <xf numFmtId="4" fontId="10" fillId="2" borderId="1" xfId="2" applyNumberFormat="1" applyFont="1" applyFill="1" applyBorder="1" applyAlignment="1" applyProtection="1">
      <alignment horizontal="center" vertical="center" wrapText="1"/>
      <protection hidden="1"/>
    </xf>
    <xf numFmtId="173" fontId="5" fillId="2" borderId="1" xfId="2" applyNumberFormat="1" applyFont="1" applyFill="1" applyBorder="1" applyAlignment="1" applyProtection="1">
      <alignment horizontal="center" vertical="center" wrapText="1"/>
      <protection hidden="1"/>
    </xf>
    <xf numFmtId="1" fontId="5" fillId="2" borderId="1" xfId="2" applyNumberFormat="1" applyFont="1" applyFill="1" applyBorder="1" applyAlignment="1" applyProtection="1">
      <alignment horizontal="center" vertical="center" wrapText="1"/>
      <protection hidden="1"/>
    </xf>
    <xf numFmtId="4" fontId="8" fillId="2" borderId="1" xfId="2" applyNumberFormat="1" applyFont="1" applyFill="1" applyBorder="1" applyAlignment="1" applyProtection="1">
      <alignment horizontal="center" vertical="center" wrapText="1"/>
      <protection hidden="1"/>
    </xf>
    <xf numFmtId="4" fontId="9" fillId="2" borderId="1" xfId="2" applyNumberFormat="1" applyFont="1" applyFill="1" applyBorder="1" applyAlignment="1" applyProtection="1">
      <alignment horizontal="center" vertical="center" wrapText="1"/>
      <protection hidden="1"/>
    </xf>
    <xf numFmtId="2" fontId="11" fillId="2" borderId="1" xfId="0" applyNumberFormat="1" applyFont="1" applyFill="1" applyBorder="1" applyAlignment="1" applyProtection="1">
      <alignment horizontal="center" vertical="center" wrapText="1"/>
      <protection hidden="1"/>
    </xf>
    <xf numFmtId="0" fontId="5" fillId="2" borderId="2"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5" fillId="2" borderId="4" xfId="0" applyFont="1" applyFill="1" applyBorder="1" applyAlignment="1" applyProtection="1">
      <alignment horizontal="center" vertical="center" wrapText="1"/>
      <protection hidden="1"/>
    </xf>
    <xf numFmtId="0" fontId="5" fillId="0" borderId="0" xfId="2" applyFont="1" applyAlignment="1" applyProtection="1">
      <alignment horizontal="right" vertical="center" wrapText="1"/>
      <protection hidden="1"/>
    </xf>
    <xf numFmtId="0" fontId="13" fillId="0" borderId="0" xfId="2" applyFont="1" applyFill="1" applyBorder="1" applyAlignment="1" applyProtection="1">
      <alignment horizontal="center" vertical="center" wrapText="1"/>
      <protection hidden="1"/>
    </xf>
    <xf numFmtId="167" fontId="13" fillId="0" borderId="0" xfId="2" applyNumberFormat="1" applyFont="1" applyFill="1" applyBorder="1" applyAlignment="1" applyProtection="1">
      <alignment horizontal="center" vertical="center" wrapText="1"/>
      <protection hidden="1"/>
    </xf>
    <xf numFmtId="165" fontId="13" fillId="0" borderId="0" xfId="2" applyNumberFormat="1" applyFont="1" applyFill="1" applyBorder="1" applyAlignment="1" applyProtection="1">
      <alignment horizontal="center" vertical="center" wrapText="1"/>
      <protection hidden="1"/>
    </xf>
    <xf numFmtId="170" fontId="13" fillId="0" borderId="0" xfId="2" applyNumberFormat="1" applyFont="1" applyFill="1" applyBorder="1" applyAlignment="1" applyProtection="1">
      <alignment horizontal="center" vertical="center" wrapText="1"/>
      <protection hidden="1"/>
    </xf>
    <xf numFmtId="0" fontId="13" fillId="0" borderId="0" xfId="3" applyFont="1" applyFill="1" applyBorder="1" applyAlignment="1" applyProtection="1">
      <alignment horizontal="center" vertical="center" wrapText="1"/>
      <protection hidden="1"/>
    </xf>
    <xf numFmtId="2" fontId="13" fillId="0" borderId="0" xfId="3" applyNumberFormat="1" applyFont="1" applyFill="1" applyBorder="1" applyAlignment="1" applyProtection="1">
      <alignment horizontal="center" vertical="center" wrapText="1"/>
      <protection hidden="1"/>
    </xf>
    <xf numFmtId="4" fontId="13" fillId="0" borderId="0" xfId="2" applyNumberFormat="1" applyFont="1" applyFill="1" applyBorder="1" applyAlignment="1" applyProtection="1">
      <alignment horizontal="center" vertical="center" wrapText="1"/>
      <protection hidden="1"/>
    </xf>
    <xf numFmtId="164" fontId="13" fillId="0" borderId="0" xfId="2" applyNumberFormat="1" applyFont="1" applyFill="1" applyBorder="1" applyAlignment="1" applyProtection="1">
      <alignment horizontal="center" vertical="center" wrapText="1"/>
      <protection hidden="1"/>
    </xf>
    <xf numFmtId="164" fontId="13" fillId="0" borderId="0" xfId="0" applyNumberFormat="1" applyFont="1" applyFill="1" applyBorder="1" applyAlignment="1" applyProtection="1">
      <alignment horizontal="center" vertical="center" wrapText="1"/>
      <protection hidden="1"/>
    </xf>
    <xf numFmtId="165" fontId="13" fillId="0" borderId="0" xfId="0" applyNumberFormat="1" applyFont="1" applyFill="1" applyBorder="1" applyAlignment="1" applyProtection="1">
      <alignment horizontal="center" vertical="center" wrapText="1"/>
      <protection hidden="1"/>
    </xf>
    <xf numFmtId="167" fontId="13" fillId="0" borderId="0" xfId="0" applyNumberFormat="1" applyFont="1" applyFill="1" applyBorder="1" applyAlignment="1" applyProtection="1">
      <alignment horizontal="center" vertical="center" wrapText="1"/>
      <protection hidden="1"/>
    </xf>
    <xf numFmtId="166" fontId="13" fillId="0" borderId="0" xfId="2" applyNumberFormat="1" applyFont="1" applyFill="1" applyBorder="1" applyAlignment="1" applyProtection="1">
      <alignment horizontal="center" vertical="center" wrapText="1"/>
      <protection hidden="1"/>
    </xf>
    <xf numFmtId="3" fontId="13" fillId="0" borderId="0" xfId="2" applyNumberFormat="1" applyFont="1" applyFill="1" applyBorder="1" applyAlignment="1" applyProtection="1">
      <alignment horizontal="center" vertical="center" wrapText="1"/>
      <protection hidden="1"/>
    </xf>
    <xf numFmtId="2" fontId="13" fillId="0" borderId="0" xfId="2" applyNumberFormat="1" applyFont="1" applyFill="1" applyBorder="1" applyAlignment="1" applyProtection="1">
      <alignment horizontal="center" vertical="center" wrapText="1"/>
      <protection hidden="1"/>
    </xf>
    <xf numFmtId="0" fontId="13" fillId="0" borderId="0" xfId="0" applyFont="1" applyFill="1" applyBorder="1" applyAlignment="1" applyProtection="1">
      <alignment horizontal="center" vertical="center" wrapText="1"/>
      <protection hidden="1"/>
    </xf>
    <xf numFmtId="0" fontId="13" fillId="0" borderId="0" xfId="0" applyFont="1" applyFill="1" applyBorder="1" applyAlignment="1" applyProtection="1">
      <alignment horizontal="right" vertical="center" wrapText="1"/>
      <protection hidden="1"/>
    </xf>
    <xf numFmtId="49" fontId="13" fillId="0" borderId="0" xfId="0" applyNumberFormat="1" applyFont="1" applyFill="1" applyBorder="1" applyAlignment="1" applyProtection="1">
      <alignment horizontal="center" vertical="center" wrapText="1"/>
      <protection hidden="1"/>
    </xf>
    <xf numFmtId="49" fontId="13" fillId="0" borderId="0" xfId="2" applyNumberFormat="1" applyFont="1" applyFill="1" applyBorder="1" applyAlignment="1" applyProtection="1">
      <alignment horizontal="center" vertical="center" wrapText="1"/>
      <protection hidden="1"/>
    </xf>
    <xf numFmtId="172" fontId="13" fillId="0" borderId="0" xfId="2" applyNumberFormat="1" applyFont="1" applyFill="1" applyBorder="1" applyAlignment="1" applyProtection="1">
      <alignment horizontal="center" vertical="center" wrapText="1"/>
      <protection hidden="1"/>
    </xf>
    <xf numFmtId="171" fontId="13" fillId="0" borderId="0" xfId="3" applyNumberFormat="1" applyFont="1" applyFill="1" applyBorder="1" applyAlignment="1" applyProtection="1">
      <alignment horizontal="center" vertical="center" wrapText="1"/>
      <protection hidden="1"/>
    </xf>
    <xf numFmtId="167" fontId="13" fillId="0" borderId="0" xfId="3" applyNumberFormat="1" applyFont="1" applyFill="1" applyBorder="1" applyAlignment="1" applyProtection="1">
      <alignment horizontal="center" vertical="center" wrapText="1"/>
      <protection hidden="1"/>
    </xf>
    <xf numFmtId="2" fontId="13" fillId="0" borderId="0" xfId="2" applyNumberFormat="1" applyFont="1" applyFill="1" applyBorder="1" applyAlignment="1" applyProtection="1">
      <alignment horizontal="right" vertical="center" wrapText="1"/>
      <protection hidden="1"/>
    </xf>
    <xf numFmtId="171" fontId="13" fillId="0" borderId="0" xfId="2" applyNumberFormat="1" applyFont="1" applyFill="1" applyBorder="1" applyAlignment="1" applyProtection="1">
      <alignment horizontal="center" vertical="center" wrapText="1"/>
      <protection hidden="1"/>
    </xf>
    <xf numFmtId="49" fontId="13" fillId="0" borderId="0" xfId="3" applyNumberFormat="1" applyFont="1" applyFill="1" applyBorder="1" applyAlignment="1" applyProtection="1">
      <alignment horizontal="center" vertical="center" wrapText="1"/>
      <protection hidden="1"/>
    </xf>
    <xf numFmtId="169" fontId="13" fillId="0" borderId="0" xfId="2" applyNumberFormat="1" applyFont="1" applyFill="1" applyBorder="1" applyAlignment="1" applyProtection="1">
      <alignment horizontal="center" vertical="center" wrapText="1"/>
      <protection hidden="1"/>
    </xf>
    <xf numFmtId="170" fontId="13" fillId="0" borderId="0" xfId="4" applyNumberFormat="1" applyFont="1" applyFill="1" applyBorder="1" applyAlignment="1" applyProtection="1">
      <alignment horizontal="center" vertical="center" wrapText="1"/>
      <protection hidden="1"/>
    </xf>
    <xf numFmtId="168" fontId="13" fillId="0" borderId="0" xfId="2" applyNumberFormat="1" applyFont="1" applyFill="1" applyBorder="1" applyAlignment="1" applyProtection="1">
      <alignment horizontal="center" vertical="center" wrapText="1"/>
      <protection hidden="1"/>
    </xf>
    <xf numFmtId="167" fontId="13" fillId="0" borderId="0" xfId="4" applyNumberFormat="1" applyFont="1" applyFill="1" applyBorder="1" applyAlignment="1" applyProtection="1">
      <alignment horizontal="center" vertical="center" wrapText="1"/>
      <protection hidden="1"/>
    </xf>
    <xf numFmtId="4" fontId="15" fillId="3" borderId="1" xfId="2" applyNumberFormat="1" applyFont="1" applyFill="1" applyBorder="1" applyAlignment="1" applyProtection="1">
      <alignment horizontal="center" vertical="center" wrapText="1"/>
      <protection locked="0" hidden="1"/>
    </xf>
    <xf numFmtId="4" fontId="5" fillId="3" borderId="1" xfId="2" applyNumberFormat="1" applyFont="1" applyFill="1" applyBorder="1" applyAlignment="1" applyProtection="1">
      <alignment horizontal="center" vertical="center" wrapText="1"/>
      <protection locked="0" hidden="1"/>
    </xf>
    <xf numFmtId="173" fontId="5" fillId="3" borderId="1" xfId="3" applyNumberFormat="1" applyFont="1" applyFill="1" applyBorder="1" applyAlignment="1" applyProtection="1">
      <alignment horizontal="center" vertical="center" wrapText="1"/>
      <protection locked="0" hidden="1"/>
    </xf>
    <xf numFmtId="1" fontId="5" fillId="3" borderId="1" xfId="2" applyNumberFormat="1" applyFont="1" applyFill="1" applyBorder="1" applyAlignment="1" applyProtection="1">
      <alignment horizontal="center" vertical="center" wrapText="1"/>
      <protection locked="0" hidden="1"/>
    </xf>
    <xf numFmtId="169" fontId="5" fillId="3" borderId="1" xfId="2" applyNumberFormat="1" applyFont="1" applyFill="1" applyBorder="1" applyAlignment="1" applyProtection="1">
      <alignment horizontal="center" vertical="center" wrapText="1"/>
      <protection locked="0" hidden="1"/>
    </xf>
    <xf numFmtId="0" fontId="5" fillId="3" borderId="1" xfId="2" applyFont="1" applyFill="1" applyBorder="1" applyAlignment="1" applyProtection="1">
      <alignment horizontal="center" vertical="center" textRotation="90" wrapText="1"/>
      <protection locked="0" hidden="1"/>
    </xf>
    <xf numFmtId="0" fontId="5" fillId="3" borderId="1" xfId="0" applyFont="1" applyFill="1" applyBorder="1" applyAlignment="1" applyProtection="1">
      <alignment horizontal="center" vertical="center" textRotation="90" wrapText="1"/>
      <protection locked="0" hidden="1"/>
    </xf>
    <xf numFmtId="0" fontId="5" fillId="0" borderId="0" xfId="2" applyFont="1" applyAlignment="1" applyProtection="1">
      <alignment horizontal="center" vertical="center" wrapText="1"/>
      <protection hidden="1"/>
    </xf>
  </cellXfs>
  <cellStyles count="6">
    <cellStyle name="Açıklama Metni" xfId="1" builtinId="53" customBuiltin="1"/>
    <cellStyle name="Normal" xfId="0" builtinId="0"/>
    <cellStyle name="Normal 2" xfId="2" xr:uid="{00000000-0005-0000-0000-000002000000}"/>
    <cellStyle name="Normal 2 2" xfId="3" xr:uid="{00000000-0005-0000-0000-000003000000}"/>
    <cellStyle name="Virgül 2" xfId="5" xr:uid="{00000000-0005-0000-0000-000004000000}"/>
    <cellStyle name="Yüzde 2" xfId="4" xr:uid="{00000000-0005-0000-0000-00000500000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E699"/>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8CBAD"/>
      <rgbColor rgb="FF3366FF"/>
      <rgbColor rgb="FF33CCCC"/>
      <rgbColor rgb="FF99CC00"/>
      <rgbColor rgb="FFFFCC00"/>
      <rgbColor rgb="FFFF9900"/>
      <rgbColor rgb="FFFF3333"/>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8E1B4"/>
      <color rgb="FFDAEEF3"/>
      <color rgb="FF003300"/>
      <color rgb="FF9933FF"/>
      <color rgb="FFAAD7E1"/>
      <color rgb="FFAAD7DC"/>
      <color rgb="FFAAD7E6"/>
      <color rgb="FFAACDE6"/>
      <color rgb="FFAFCDE6"/>
      <color rgb="FFAFE1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821142851852943"/>
          <c:y val="1.6407513119655142E-2"/>
          <c:w val="0.22938183964581099"/>
          <c:h val="0.96718497376068968"/>
        </c:manualLayout>
      </c:layout>
      <c:barChart>
        <c:barDir val="bar"/>
        <c:grouping val="clustered"/>
        <c:varyColors val="0"/>
        <c:ser>
          <c:idx val="0"/>
          <c:order val="0"/>
          <c:spPr>
            <a:solidFill>
              <a:schemeClr val="tx1"/>
            </a:solidFill>
            <a:ln>
              <a:noFill/>
            </a:ln>
            <a:effectLst/>
          </c:spPr>
          <c:invertIfNegative val="0"/>
          <c:dPt>
            <c:idx val="10"/>
            <c:invertIfNegative val="0"/>
            <c:bubble3D val="0"/>
            <c:spPr>
              <a:solidFill>
                <a:schemeClr val="tx1"/>
              </a:solidFill>
              <a:ln>
                <a:noFill/>
              </a:ln>
              <a:effectLst/>
            </c:spPr>
            <c:extLst>
              <c:ext xmlns:c16="http://schemas.microsoft.com/office/drawing/2014/chart" uri="{C3380CC4-5D6E-409C-BE32-E72D297353CC}">
                <c16:uniqueId val="{00000035-7CFE-44BF-A422-9711557B250B}"/>
              </c:ext>
            </c:extLst>
          </c:dPt>
          <c:dPt>
            <c:idx val="11"/>
            <c:invertIfNegative val="0"/>
            <c:bubble3D val="0"/>
            <c:spPr>
              <a:solidFill>
                <a:srgbClr val="C00000"/>
              </a:solidFill>
              <a:ln>
                <a:noFill/>
              </a:ln>
              <a:effectLst/>
            </c:spPr>
            <c:extLst>
              <c:ext xmlns:c16="http://schemas.microsoft.com/office/drawing/2014/chart" uri="{C3380CC4-5D6E-409C-BE32-E72D297353CC}">
                <c16:uniqueId val="{00000027-15C5-4CF9-A126-8061EA1D968F}"/>
              </c:ext>
            </c:extLst>
          </c:dPt>
          <c:dPt>
            <c:idx val="12"/>
            <c:invertIfNegative val="0"/>
            <c:bubble3D val="0"/>
            <c:spPr>
              <a:solidFill>
                <a:srgbClr val="C00000"/>
              </a:solidFill>
              <a:ln>
                <a:noFill/>
              </a:ln>
              <a:effectLst/>
            </c:spPr>
            <c:extLst>
              <c:ext xmlns:c16="http://schemas.microsoft.com/office/drawing/2014/chart" uri="{C3380CC4-5D6E-409C-BE32-E72D297353CC}">
                <c16:uniqueId val="{00000028-15C5-4CF9-A126-8061EA1D968F}"/>
              </c:ext>
            </c:extLst>
          </c:dPt>
          <c:dPt>
            <c:idx val="13"/>
            <c:invertIfNegative val="0"/>
            <c:bubble3D val="0"/>
            <c:spPr>
              <a:solidFill>
                <a:srgbClr val="C00000"/>
              </a:solidFill>
              <a:ln>
                <a:noFill/>
              </a:ln>
              <a:effectLst/>
            </c:spPr>
            <c:extLst>
              <c:ext xmlns:c16="http://schemas.microsoft.com/office/drawing/2014/chart" uri="{C3380CC4-5D6E-409C-BE32-E72D297353CC}">
                <c16:uniqueId val="{00000029-15C5-4CF9-A126-8061EA1D968F}"/>
              </c:ext>
            </c:extLst>
          </c:dPt>
          <c:dPt>
            <c:idx val="14"/>
            <c:invertIfNegative val="0"/>
            <c:bubble3D val="0"/>
            <c:spPr>
              <a:solidFill>
                <a:srgbClr val="C00000"/>
              </a:solidFill>
              <a:ln>
                <a:noFill/>
              </a:ln>
              <a:effectLst/>
            </c:spPr>
            <c:extLst>
              <c:ext xmlns:c16="http://schemas.microsoft.com/office/drawing/2014/chart" uri="{C3380CC4-5D6E-409C-BE32-E72D297353CC}">
                <c16:uniqueId val="{0000002A-15C5-4CF9-A126-8061EA1D968F}"/>
              </c:ext>
            </c:extLst>
          </c:dPt>
          <c:dPt>
            <c:idx val="15"/>
            <c:invertIfNegative val="0"/>
            <c:bubble3D val="0"/>
            <c:spPr>
              <a:solidFill>
                <a:srgbClr val="C00000"/>
              </a:solidFill>
              <a:ln>
                <a:noFill/>
              </a:ln>
              <a:effectLst/>
            </c:spPr>
            <c:extLst>
              <c:ext xmlns:c16="http://schemas.microsoft.com/office/drawing/2014/chart" uri="{C3380CC4-5D6E-409C-BE32-E72D297353CC}">
                <c16:uniqueId val="{0000002B-15C5-4CF9-A126-8061EA1D968F}"/>
              </c:ext>
            </c:extLst>
          </c:dPt>
          <c:dPt>
            <c:idx val="16"/>
            <c:invertIfNegative val="0"/>
            <c:bubble3D val="0"/>
            <c:spPr>
              <a:solidFill>
                <a:srgbClr val="C00000"/>
              </a:solidFill>
              <a:ln>
                <a:noFill/>
              </a:ln>
              <a:effectLst/>
            </c:spPr>
            <c:extLst>
              <c:ext xmlns:c16="http://schemas.microsoft.com/office/drawing/2014/chart" uri="{C3380CC4-5D6E-409C-BE32-E72D297353CC}">
                <c16:uniqueId val="{0000002C-15C5-4CF9-A126-8061EA1D968F}"/>
              </c:ext>
            </c:extLst>
          </c:dPt>
          <c:dPt>
            <c:idx val="17"/>
            <c:invertIfNegative val="0"/>
            <c:bubble3D val="0"/>
            <c:spPr>
              <a:solidFill>
                <a:srgbClr val="C00000"/>
              </a:solidFill>
              <a:ln>
                <a:noFill/>
              </a:ln>
              <a:effectLst/>
            </c:spPr>
            <c:extLst>
              <c:ext xmlns:c16="http://schemas.microsoft.com/office/drawing/2014/chart" uri="{C3380CC4-5D6E-409C-BE32-E72D297353CC}">
                <c16:uniqueId val="{0000002D-15C5-4CF9-A126-8061EA1D968F}"/>
              </c:ext>
            </c:extLst>
          </c:dPt>
          <c:dPt>
            <c:idx val="18"/>
            <c:invertIfNegative val="0"/>
            <c:bubble3D val="0"/>
            <c:spPr>
              <a:solidFill>
                <a:schemeClr val="bg1">
                  <a:lumMod val="50000"/>
                </a:schemeClr>
              </a:solidFill>
              <a:ln>
                <a:noFill/>
              </a:ln>
              <a:effectLst/>
            </c:spPr>
            <c:extLst>
              <c:ext xmlns:c16="http://schemas.microsoft.com/office/drawing/2014/chart" uri="{C3380CC4-5D6E-409C-BE32-E72D297353CC}">
                <c16:uniqueId val="{00000036-B11B-4591-90FE-4D23434FBFCF}"/>
              </c:ext>
            </c:extLst>
          </c:dPt>
          <c:dPt>
            <c:idx val="20"/>
            <c:invertIfNegative val="0"/>
            <c:bubble3D val="0"/>
            <c:spPr>
              <a:solidFill>
                <a:schemeClr val="tx1"/>
              </a:solidFill>
              <a:ln>
                <a:noFill/>
              </a:ln>
              <a:effectLst/>
            </c:spPr>
            <c:extLst>
              <c:ext xmlns:c16="http://schemas.microsoft.com/office/drawing/2014/chart" uri="{C3380CC4-5D6E-409C-BE32-E72D297353CC}">
                <c16:uniqueId val="{0000000F-45CA-4018-8A5C-C7D91A61B798}"/>
              </c:ext>
            </c:extLst>
          </c:dPt>
          <c:dPt>
            <c:idx val="21"/>
            <c:invertIfNegative val="0"/>
            <c:bubble3D val="0"/>
            <c:spPr>
              <a:solidFill>
                <a:schemeClr val="tx1"/>
              </a:solidFill>
              <a:ln>
                <a:noFill/>
              </a:ln>
              <a:effectLst/>
            </c:spPr>
            <c:extLst>
              <c:ext xmlns:c16="http://schemas.microsoft.com/office/drawing/2014/chart" uri="{C3380CC4-5D6E-409C-BE32-E72D297353CC}">
                <c16:uniqueId val="{0000000E-45CA-4018-8A5C-C7D91A61B798}"/>
              </c:ext>
            </c:extLst>
          </c:dPt>
          <c:dPt>
            <c:idx val="22"/>
            <c:invertIfNegative val="0"/>
            <c:bubble3D val="0"/>
            <c:spPr>
              <a:solidFill>
                <a:schemeClr val="tx1"/>
              </a:solidFill>
              <a:ln>
                <a:noFill/>
              </a:ln>
              <a:effectLst/>
            </c:spPr>
            <c:extLst>
              <c:ext xmlns:c16="http://schemas.microsoft.com/office/drawing/2014/chart" uri="{C3380CC4-5D6E-409C-BE32-E72D297353CC}">
                <c16:uniqueId val="{0000000D-45CA-4018-8A5C-C7D91A61B798}"/>
              </c:ext>
            </c:extLst>
          </c:dPt>
          <c:dPt>
            <c:idx val="23"/>
            <c:invertIfNegative val="0"/>
            <c:bubble3D val="0"/>
            <c:spPr>
              <a:solidFill>
                <a:schemeClr val="tx1"/>
              </a:solidFill>
              <a:ln>
                <a:noFill/>
              </a:ln>
              <a:effectLst/>
            </c:spPr>
            <c:extLst>
              <c:ext xmlns:c16="http://schemas.microsoft.com/office/drawing/2014/chart" uri="{C3380CC4-5D6E-409C-BE32-E72D297353CC}">
                <c16:uniqueId val="{00000015-E42F-428B-802F-3B6F8ADE344D}"/>
              </c:ext>
            </c:extLst>
          </c:dPt>
          <c:dPt>
            <c:idx val="24"/>
            <c:invertIfNegative val="0"/>
            <c:bubble3D val="0"/>
            <c:spPr>
              <a:solidFill>
                <a:schemeClr val="tx1"/>
              </a:solidFill>
              <a:ln>
                <a:noFill/>
              </a:ln>
              <a:effectLst/>
            </c:spPr>
            <c:extLst>
              <c:ext xmlns:c16="http://schemas.microsoft.com/office/drawing/2014/chart" uri="{C3380CC4-5D6E-409C-BE32-E72D297353CC}">
                <c16:uniqueId val="{0000000A-45CA-4018-8A5C-C7D91A61B798}"/>
              </c:ext>
            </c:extLst>
          </c:dPt>
          <c:dPt>
            <c:idx val="25"/>
            <c:invertIfNegative val="0"/>
            <c:bubble3D val="0"/>
            <c:spPr>
              <a:solidFill>
                <a:schemeClr val="tx1"/>
              </a:solidFill>
              <a:ln>
                <a:noFill/>
              </a:ln>
              <a:effectLst/>
            </c:spPr>
            <c:extLst>
              <c:ext xmlns:c16="http://schemas.microsoft.com/office/drawing/2014/chart" uri="{C3380CC4-5D6E-409C-BE32-E72D297353CC}">
                <c16:uniqueId val="{00000009-45CA-4018-8A5C-C7D91A61B798}"/>
              </c:ext>
            </c:extLst>
          </c:dPt>
          <c:dPt>
            <c:idx val="26"/>
            <c:invertIfNegative val="0"/>
            <c:bubble3D val="0"/>
            <c:spPr>
              <a:solidFill>
                <a:srgbClr val="C00000"/>
              </a:solidFill>
              <a:ln>
                <a:noFill/>
              </a:ln>
              <a:effectLst/>
            </c:spPr>
            <c:extLst>
              <c:ext xmlns:c16="http://schemas.microsoft.com/office/drawing/2014/chart" uri="{C3380CC4-5D6E-409C-BE32-E72D297353CC}">
                <c16:uniqueId val="{0000000B-45CA-4018-8A5C-C7D91A61B798}"/>
              </c:ext>
            </c:extLst>
          </c:dPt>
          <c:dPt>
            <c:idx val="27"/>
            <c:invertIfNegative val="0"/>
            <c:bubble3D val="0"/>
            <c:spPr>
              <a:solidFill>
                <a:srgbClr val="C00000"/>
              </a:solidFill>
              <a:ln>
                <a:noFill/>
              </a:ln>
              <a:effectLst/>
            </c:spPr>
            <c:extLst>
              <c:ext xmlns:c16="http://schemas.microsoft.com/office/drawing/2014/chart" uri="{C3380CC4-5D6E-409C-BE32-E72D297353CC}">
                <c16:uniqueId val="{00000008-45CA-4018-8A5C-C7D91A61B798}"/>
              </c:ext>
            </c:extLst>
          </c:dPt>
          <c:dPt>
            <c:idx val="28"/>
            <c:invertIfNegative val="0"/>
            <c:bubble3D val="0"/>
            <c:spPr>
              <a:solidFill>
                <a:srgbClr val="C00000"/>
              </a:solidFill>
              <a:ln>
                <a:noFill/>
              </a:ln>
              <a:effectLst/>
            </c:spPr>
            <c:extLst>
              <c:ext xmlns:c16="http://schemas.microsoft.com/office/drawing/2014/chart" uri="{C3380CC4-5D6E-409C-BE32-E72D297353CC}">
                <c16:uniqueId val="{0000000C-45CA-4018-8A5C-C7D91A61B798}"/>
              </c:ext>
            </c:extLst>
          </c:dPt>
          <c:dPt>
            <c:idx val="29"/>
            <c:invertIfNegative val="0"/>
            <c:bubble3D val="0"/>
            <c:spPr>
              <a:solidFill>
                <a:srgbClr val="C00000"/>
              </a:solidFill>
              <a:ln>
                <a:noFill/>
              </a:ln>
              <a:effectLst/>
            </c:spPr>
            <c:extLst>
              <c:ext xmlns:c16="http://schemas.microsoft.com/office/drawing/2014/chart" uri="{C3380CC4-5D6E-409C-BE32-E72D297353CC}">
                <c16:uniqueId val="{00000007-45CA-4018-8A5C-C7D91A61B798}"/>
              </c:ext>
            </c:extLst>
          </c:dPt>
          <c:dPt>
            <c:idx val="30"/>
            <c:invertIfNegative val="0"/>
            <c:bubble3D val="0"/>
            <c:spPr>
              <a:solidFill>
                <a:srgbClr val="C00000"/>
              </a:solidFill>
              <a:ln>
                <a:noFill/>
              </a:ln>
              <a:effectLst/>
            </c:spPr>
            <c:extLst>
              <c:ext xmlns:c16="http://schemas.microsoft.com/office/drawing/2014/chart" uri="{C3380CC4-5D6E-409C-BE32-E72D297353CC}">
                <c16:uniqueId val="{00000013-D68E-4191-8C49-7635405731D1}"/>
              </c:ext>
            </c:extLst>
          </c:dPt>
          <c:dPt>
            <c:idx val="31"/>
            <c:invertIfNegative val="0"/>
            <c:bubble3D val="0"/>
            <c:spPr>
              <a:solidFill>
                <a:srgbClr val="C00000"/>
              </a:solidFill>
              <a:ln>
                <a:noFill/>
              </a:ln>
              <a:effectLst/>
            </c:spPr>
            <c:extLst>
              <c:ext xmlns:c16="http://schemas.microsoft.com/office/drawing/2014/chart" uri="{C3380CC4-5D6E-409C-BE32-E72D297353CC}">
                <c16:uniqueId val="{00000017-D7E6-45C6-BD44-9DAF6A5B6F82}"/>
              </c:ext>
            </c:extLst>
          </c:dPt>
          <c:dPt>
            <c:idx val="32"/>
            <c:invertIfNegative val="0"/>
            <c:bubble3D val="0"/>
            <c:spPr>
              <a:solidFill>
                <a:srgbClr val="C00000"/>
              </a:solidFill>
              <a:ln>
                <a:noFill/>
              </a:ln>
              <a:effectLst/>
            </c:spPr>
            <c:extLst>
              <c:ext xmlns:c16="http://schemas.microsoft.com/office/drawing/2014/chart" uri="{C3380CC4-5D6E-409C-BE32-E72D297353CC}">
                <c16:uniqueId val="{00000018-D7E6-45C6-BD44-9DAF6A5B6F82}"/>
              </c:ext>
            </c:extLst>
          </c:dPt>
          <c:dPt>
            <c:idx val="33"/>
            <c:invertIfNegative val="0"/>
            <c:bubble3D val="0"/>
            <c:spPr>
              <a:solidFill>
                <a:srgbClr val="C00000"/>
              </a:solidFill>
              <a:ln>
                <a:noFill/>
              </a:ln>
              <a:effectLst/>
            </c:spPr>
            <c:extLst>
              <c:ext xmlns:c16="http://schemas.microsoft.com/office/drawing/2014/chart" uri="{C3380CC4-5D6E-409C-BE32-E72D297353CC}">
                <c16:uniqueId val="{0000001D-B20F-4A15-8DC8-56B8EB5F98BA}"/>
              </c:ext>
            </c:extLst>
          </c:dPt>
          <c:dPt>
            <c:idx val="34"/>
            <c:invertIfNegative val="0"/>
            <c:bubble3D val="0"/>
            <c:spPr>
              <a:solidFill>
                <a:srgbClr val="C00000"/>
              </a:solidFill>
              <a:ln>
                <a:noFill/>
              </a:ln>
              <a:effectLst/>
            </c:spPr>
            <c:extLst>
              <c:ext xmlns:c16="http://schemas.microsoft.com/office/drawing/2014/chart" uri="{C3380CC4-5D6E-409C-BE32-E72D297353CC}">
                <c16:uniqueId val="{0000001C-B20F-4A15-8DC8-56B8EB5F98BA}"/>
              </c:ext>
            </c:extLst>
          </c:dPt>
          <c:dPt>
            <c:idx val="35"/>
            <c:invertIfNegative val="0"/>
            <c:bubble3D val="0"/>
            <c:spPr>
              <a:solidFill>
                <a:srgbClr val="C00000"/>
              </a:solidFill>
              <a:ln>
                <a:noFill/>
              </a:ln>
              <a:effectLst/>
            </c:spPr>
            <c:extLst>
              <c:ext xmlns:c16="http://schemas.microsoft.com/office/drawing/2014/chart" uri="{C3380CC4-5D6E-409C-BE32-E72D297353CC}">
                <c16:uniqueId val="{0000001E-B20F-4A15-8DC8-56B8EB5F98BA}"/>
              </c:ext>
            </c:extLst>
          </c:dPt>
          <c:dPt>
            <c:idx val="36"/>
            <c:invertIfNegative val="0"/>
            <c:bubble3D val="0"/>
            <c:spPr>
              <a:solidFill>
                <a:srgbClr val="C00000"/>
              </a:solidFill>
              <a:ln>
                <a:noFill/>
              </a:ln>
              <a:effectLst/>
            </c:spPr>
            <c:extLst>
              <c:ext xmlns:c16="http://schemas.microsoft.com/office/drawing/2014/chart" uri="{C3380CC4-5D6E-409C-BE32-E72D297353CC}">
                <c16:uniqueId val="{0000001B-B20F-4A15-8DC8-56B8EB5F98BA}"/>
              </c:ext>
            </c:extLst>
          </c:dPt>
          <c:dPt>
            <c:idx val="37"/>
            <c:invertIfNegative val="0"/>
            <c:bubble3D val="0"/>
            <c:spPr>
              <a:solidFill>
                <a:srgbClr val="C00000"/>
              </a:solidFill>
              <a:ln>
                <a:noFill/>
              </a:ln>
              <a:effectLst/>
            </c:spPr>
            <c:extLst>
              <c:ext xmlns:c16="http://schemas.microsoft.com/office/drawing/2014/chart" uri="{C3380CC4-5D6E-409C-BE32-E72D297353CC}">
                <c16:uniqueId val="{00000023-8CC3-4E54-9960-0F980A27CEC9}"/>
              </c:ext>
            </c:extLst>
          </c:dPt>
          <c:dPt>
            <c:idx val="38"/>
            <c:invertIfNegative val="0"/>
            <c:bubble3D val="0"/>
            <c:spPr>
              <a:solidFill>
                <a:schemeClr val="bg1">
                  <a:lumMod val="50000"/>
                </a:schemeClr>
              </a:solidFill>
              <a:ln>
                <a:noFill/>
              </a:ln>
              <a:effectLst/>
            </c:spPr>
            <c:extLst>
              <c:ext xmlns:c16="http://schemas.microsoft.com/office/drawing/2014/chart" uri="{C3380CC4-5D6E-409C-BE32-E72D297353CC}">
                <c16:uniqueId val="{00000024-8CC3-4E54-9960-0F980A27CEC9}"/>
              </c:ext>
            </c:extLst>
          </c:dPt>
          <c:dLbls>
            <c:spPr>
              <a:noFill/>
              <a:ln>
                <a:noFill/>
              </a:ln>
              <a:effectLst/>
            </c:spPr>
            <c:txPr>
              <a:bodyPr rot="0" spcFirstLastPara="1" vertOverflow="ellipsis" vert="horz" wrap="square" anchor="ctr" anchorCtr="1"/>
              <a:lstStyle/>
              <a:p>
                <a:pPr>
                  <a:defRPr sz="1600" b="0" i="0" u="none" strike="noStrike" kern="1200" baseline="0">
                    <a:solidFill>
                      <a:schemeClr val="tx1">
                        <a:lumMod val="75000"/>
                        <a:lumOff val="25000"/>
                      </a:schemeClr>
                    </a:solidFill>
                    <a:latin typeface="+mn-lt"/>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'Özet Tablo'!$X$1:$X$18</c:f>
              <c:strCache>
                <c:ptCount val="18"/>
                <c:pt idx="0">
                  <c:v>Normal Çalışma</c:v>
                </c:pt>
                <c:pt idx="1">
                  <c:v>Kıdem Yardımı</c:v>
                </c:pt>
                <c:pt idx="2">
                  <c:v>Fazla Çalışma (% 50)</c:v>
                </c:pt>
                <c:pt idx="3">
                  <c:v>Fazla Sürelerle Çalışma (% 25)</c:v>
                </c:pt>
                <c:pt idx="4">
                  <c:v>Resmi Tatillerde Çalışma (% 100)</c:v>
                </c:pt>
                <c:pt idx="5">
                  <c:v>Gece Çalışma (% 12)</c:v>
                </c:pt>
                <c:pt idx="6">
                  <c:v>Yemek Yardımı</c:v>
                </c:pt>
                <c:pt idx="7">
                  <c:v>Ulaşım Yardımı</c:v>
                </c:pt>
                <c:pt idx="8">
                  <c:v>İkramiye Yardımı</c:v>
                </c:pt>
                <c:pt idx="9">
                  <c:v>Sosyal Yardım</c:v>
                </c:pt>
                <c:pt idx="10">
                  <c:v>Nakdi Yardımlar</c:v>
                </c:pt>
                <c:pt idx="11">
                  <c:v>Sendika Üyelik Aidatı Kesintisi</c:v>
                </c:pt>
                <c:pt idx="12">
                  <c:v>BES Kesintisi</c:v>
                </c:pt>
                <c:pt idx="13">
                  <c:v>Damga Vergisi Kesintisi</c:v>
                </c:pt>
                <c:pt idx="14">
                  <c:v>SGK Prim Kesintisi</c:v>
                </c:pt>
                <c:pt idx="15">
                  <c:v>SGK İşsizlik Primi Kesintisi</c:v>
                </c:pt>
                <c:pt idx="16">
                  <c:v>Gelir Vergisi Kesintisi</c:v>
                </c:pt>
                <c:pt idx="17">
                  <c:v>İşveren Maliyeti</c:v>
                </c:pt>
              </c:strCache>
            </c:strRef>
          </c:cat>
          <c:val>
            <c:numRef>
              <c:f>'Özet Tablo'!$Y$1:$Y$18</c:f>
              <c:numCache>
                <c:formatCode>#,##0.00\ "₺"</c:formatCode>
                <c:ptCount val="18"/>
                <c:pt idx="0">
                  <c:v>37460.242179025656</c:v>
                </c:pt>
                <c:pt idx="1">
                  <c:v>0</c:v>
                </c:pt>
                <c:pt idx="2">
                  <c:v>0</c:v>
                </c:pt>
                <c:pt idx="3">
                  <c:v>0</c:v>
                </c:pt>
                <c:pt idx="4">
                  <c:v>0</c:v>
                </c:pt>
                <c:pt idx="5">
                  <c:v>0</c:v>
                </c:pt>
                <c:pt idx="6">
                  <c:v>6000</c:v>
                </c:pt>
                <c:pt idx="7">
                  <c:v>3376.8333333333335</c:v>
                </c:pt>
                <c:pt idx="8">
                  <c:v>12452.394379025647</c:v>
                </c:pt>
                <c:pt idx="9">
                  <c:v>4279.8517731592137</c:v>
                </c:pt>
                <c:pt idx="10">
                  <c:v>0</c:v>
                </c:pt>
                <c:pt idx="11">
                  <c:v>0</c:v>
                </c:pt>
                <c:pt idx="12">
                  <c:v>0</c:v>
                </c:pt>
                <c:pt idx="13">
                  <c:v>423.51613471290693</c:v>
                </c:pt>
                <c:pt idx="14">
                  <c:v>12436.091812886292</c:v>
                </c:pt>
                <c:pt idx="15">
                  <c:v>888.292272349021</c:v>
                </c:pt>
                <c:pt idx="16">
                  <c:v>12437.872499999998</c:v>
                </c:pt>
                <c:pt idx="17">
                  <c:v>110476.04972866096</c:v>
                </c:pt>
              </c:numCache>
            </c:numRef>
          </c:val>
          <c:extLst>
            <c:ext xmlns:c16="http://schemas.microsoft.com/office/drawing/2014/chart" uri="{C3380CC4-5D6E-409C-BE32-E72D297353CC}">
              <c16:uniqueId val="{00000000-755B-478D-AB69-BF223AA4AC7C}"/>
            </c:ext>
          </c:extLst>
        </c:ser>
        <c:dLbls>
          <c:dLblPos val="outEnd"/>
          <c:showLegendKey val="0"/>
          <c:showVal val="1"/>
          <c:showCatName val="0"/>
          <c:showSerName val="0"/>
          <c:showPercent val="0"/>
          <c:showBubbleSize val="0"/>
        </c:dLbls>
        <c:gapWidth val="182"/>
        <c:axId val="552148752"/>
        <c:axId val="552147112"/>
      </c:barChart>
      <c:catAx>
        <c:axId val="55214875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tr-TR"/>
          </a:p>
        </c:txPr>
        <c:crossAx val="552147112"/>
        <c:crosses val="autoZero"/>
        <c:auto val="1"/>
        <c:lblAlgn val="ctr"/>
        <c:lblOffset val="100"/>
        <c:tickMarkSkip val="1"/>
        <c:noMultiLvlLbl val="0"/>
      </c:catAx>
      <c:valAx>
        <c:axId val="552147112"/>
        <c:scaling>
          <c:orientation val="minMax"/>
        </c:scaling>
        <c:delete val="1"/>
        <c:axPos val="t"/>
        <c:numFmt formatCode="#,##0.00\ &quot;₺&quot;" sourceLinked="1"/>
        <c:majorTickMark val="out"/>
        <c:minorTickMark val="none"/>
        <c:tickLblPos val="nextTo"/>
        <c:crossAx val="5521487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85000"/>
      </a:schemeClr>
    </a:solidFill>
    <a:ln w="9525" cap="flat" cmpd="sng" algn="ctr">
      <a:solidFill>
        <a:schemeClr val="tx1">
          <a:lumMod val="15000"/>
          <a:lumOff val="85000"/>
        </a:schemeClr>
      </a:solidFill>
      <a:round/>
    </a:ln>
    <a:effectLst/>
  </c:spPr>
  <c:txPr>
    <a:bodyPr/>
    <a:lstStyle/>
    <a:p>
      <a:pPr>
        <a:defRPr sz="1600"/>
      </a:pPr>
      <a:endParaRPr lang="tr-T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Pt>
            <c:idx val="0"/>
            <c:bubble3D val="0"/>
            <c:explosion val="4"/>
            <c:spPr>
              <a:solidFill>
                <a:schemeClr val="tx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5D9F-40F4-A256-823C9FF01F41}"/>
              </c:ext>
            </c:extLst>
          </c:dPt>
          <c:dPt>
            <c:idx val="1"/>
            <c:bubble3D val="0"/>
            <c:explosion val="5"/>
            <c:spPr>
              <a:solidFill>
                <a:srgbClr val="C00000"/>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5D9F-40F4-A256-823C9FF01F41}"/>
              </c:ext>
            </c:extLst>
          </c:dPt>
          <c:dLbls>
            <c:dLbl>
              <c:idx val="0"/>
              <c:layout>
                <c:manualLayout>
                  <c:x val="0"/>
                  <c:y val="-0.2727330235099843"/>
                </c:manualLayout>
              </c:layout>
              <c:tx>
                <c:rich>
                  <a:bodyPr rot="0" spcFirstLastPara="1" vertOverflow="ellipsis" vert="horz" wrap="square" lIns="0" tIns="0" rIns="0" bIns="0" anchor="ctr" anchorCtr="0">
                    <a:noAutofit/>
                  </a:bodyPr>
                  <a:lstStyle/>
                  <a:p>
                    <a:pPr lvl="1" algn="ctr" rtl="0">
                      <a:defRPr sz="2000" b="1" i="0" u="none" strike="noStrike" kern="1200" baseline="0">
                        <a:solidFill>
                          <a:sysClr val="windowText" lastClr="000000"/>
                        </a:solidFill>
                        <a:latin typeface="+mn-lt"/>
                        <a:ea typeface="+mn-ea"/>
                        <a:cs typeface="+mn-cs"/>
                      </a:defRPr>
                    </a:pPr>
                    <a:r>
                      <a:rPr lang="en-US" sz="2000" i="0" u="sng" baseline="0">
                        <a:solidFill>
                          <a:sysClr val="windowText" lastClr="000000"/>
                        </a:solidFill>
                      </a:rPr>
                      <a:t>Kazançlar</a:t>
                    </a:r>
                  </a:p>
                  <a:p>
                    <a:pPr lvl="1" algn="ctr" rtl="0">
                      <a:defRPr sz="2000" b="1" i="0" u="none" strike="noStrike" kern="1200" baseline="0">
                        <a:solidFill>
                          <a:sysClr val="windowText" lastClr="000000"/>
                        </a:solidFill>
                        <a:latin typeface="+mn-lt"/>
                        <a:ea typeface="+mn-ea"/>
                        <a:cs typeface="+mn-cs"/>
                      </a:defRPr>
                    </a:pPr>
                    <a:fld id="{18CB9E8E-A975-43C0-A56F-BEEBC923E687}" type="VALUE">
                      <a:rPr lang="en-US" sz="2000" i="0">
                        <a:solidFill>
                          <a:sysClr val="windowText" lastClr="000000"/>
                        </a:solidFill>
                      </a:rPr>
                      <a:pPr lvl="1" algn="ctr" rtl="0">
                        <a:defRPr sz="2000" b="1" i="0" u="none" strike="noStrike" kern="1200" baseline="0">
                          <a:solidFill>
                            <a:sysClr val="windowText" lastClr="000000"/>
                          </a:solidFill>
                          <a:latin typeface="+mn-lt"/>
                          <a:ea typeface="+mn-ea"/>
                          <a:cs typeface="+mn-cs"/>
                        </a:defRPr>
                      </a:pPr>
                      <a:t>[DEĞER]</a:t>
                    </a:fld>
                    <a:endParaRPr lang="en-US" sz="2000" i="0" baseline="0">
                      <a:solidFill>
                        <a:sysClr val="windowText" lastClr="000000"/>
                      </a:solidFill>
                    </a:endParaRPr>
                  </a:p>
                  <a:p>
                    <a:pPr lvl="1" algn="ctr" rtl="0">
                      <a:defRPr sz="2000" b="1" i="0" u="none" strike="noStrike" kern="1200" baseline="0">
                        <a:solidFill>
                          <a:sysClr val="windowText" lastClr="000000"/>
                        </a:solidFill>
                        <a:latin typeface="+mn-lt"/>
                        <a:ea typeface="+mn-ea"/>
                        <a:cs typeface="+mn-cs"/>
                      </a:defRPr>
                    </a:pPr>
                    <a:fld id="{ED1D6583-AC77-4CB8-8AE1-8BB6A6F10BE5}" type="PERCENTAGE">
                      <a:rPr lang="en-US" sz="2000" i="0">
                        <a:solidFill>
                          <a:sysClr val="windowText" lastClr="000000"/>
                        </a:solidFill>
                      </a:rPr>
                      <a:pPr lvl="1" algn="ctr" rtl="0">
                        <a:defRPr sz="2000" b="1" i="0" u="none" strike="noStrike" kern="1200" baseline="0">
                          <a:solidFill>
                            <a:sysClr val="windowText" lastClr="000000"/>
                          </a:solidFill>
                          <a:latin typeface="+mn-lt"/>
                          <a:ea typeface="+mn-ea"/>
                          <a:cs typeface="+mn-cs"/>
                        </a:defRPr>
                      </a:pPr>
                      <a:t>[YÜZDE]</a:t>
                    </a:fld>
                    <a:endParaRPr lang="tr-TR"/>
                  </a:p>
                </c:rich>
              </c:tx>
              <c:numFmt formatCode="%\ 0.00" sourceLinked="0"/>
              <c:spPr>
                <a:noFill/>
                <a:ln>
                  <a:noFill/>
                </a:ln>
                <a:effectLst/>
              </c:spPr>
              <c:dLblPos val="bestFit"/>
              <c:showLegendKey val="0"/>
              <c:showVal val="0"/>
              <c:showCatName val="0"/>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c15:spPr>
                  <c15:layout>
                    <c:manualLayout>
                      <c:w val="1"/>
                      <c:h val="0.2"/>
                    </c:manualLayout>
                  </c15:layout>
                  <c15:dlblFieldTable/>
                  <c15:showDataLabelsRange val="0"/>
                </c:ext>
                <c:ext xmlns:c16="http://schemas.microsoft.com/office/drawing/2014/chart" uri="{C3380CC4-5D6E-409C-BE32-E72D297353CC}">
                  <c16:uniqueId val="{00000001-5D9F-40F4-A256-823C9FF01F41}"/>
                </c:ext>
              </c:extLst>
            </c:dLbl>
            <c:dLbl>
              <c:idx val="1"/>
              <c:layout>
                <c:manualLayout>
                  <c:x val="0"/>
                  <c:y val="0.28660887761598208"/>
                </c:manualLayout>
              </c:layout>
              <c:tx>
                <c:rich>
                  <a:bodyPr rot="0" spcFirstLastPara="1" vertOverflow="ellipsis" vert="horz" wrap="square" lIns="0" tIns="0" rIns="0" bIns="0" anchor="t" anchorCtr="0">
                    <a:noAutofit/>
                  </a:bodyPr>
                  <a:lstStyle/>
                  <a:p>
                    <a:pPr lvl="1" algn="ctr" rtl="0">
                      <a:defRPr sz="2000" b="1" i="0" u="none" strike="noStrike" kern="1200" baseline="0">
                        <a:solidFill>
                          <a:srgbClr val="C00000"/>
                        </a:solidFill>
                        <a:latin typeface="+mn-lt"/>
                        <a:ea typeface="+mn-ea"/>
                        <a:cs typeface="+mn-cs"/>
                      </a:defRPr>
                    </a:pPr>
                    <a:r>
                      <a:rPr lang="en-US" sz="2000" b="1" i="0" u="sng" strike="noStrike" baseline="0">
                        <a:solidFill>
                          <a:srgbClr val="C00000"/>
                        </a:solidFill>
                      </a:rPr>
                      <a:t>Kesintiler</a:t>
                    </a:r>
                    <a:br>
                      <a:rPr lang="en-US" sz="2000" b="1" i="0" u="none" strike="noStrike" baseline="0">
                        <a:solidFill>
                          <a:srgbClr val="C00000"/>
                        </a:solidFill>
                      </a:rPr>
                    </a:br>
                    <a:fld id="{D48269F3-90DB-4B96-9E27-A88140910F88}" type="VALUE">
                      <a:rPr lang="en-US" sz="2000">
                        <a:solidFill>
                          <a:srgbClr val="C00000"/>
                        </a:solidFill>
                      </a:rPr>
                      <a:pPr lvl="1" algn="ctr" rtl="0">
                        <a:defRPr sz="2000" b="1" i="0" u="none" strike="noStrike" kern="1200" baseline="0">
                          <a:solidFill>
                            <a:srgbClr val="C00000"/>
                          </a:solidFill>
                          <a:latin typeface="+mn-lt"/>
                          <a:ea typeface="+mn-ea"/>
                          <a:cs typeface="+mn-cs"/>
                        </a:defRPr>
                      </a:pPr>
                      <a:t>[DEĞER]</a:t>
                    </a:fld>
                    <a:endParaRPr lang="en-US" sz="2000" baseline="0">
                      <a:solidFill>
                        <a:srgbClr val="C00000"/>
                      </a:solidFill>
                    </a:endParaRPr>
                  </a:p>
                  <a:p>
                    <a:pPr lvl="1" algn="ctr" rtl="0">
                      <a:defRPr sz="2000" b="1" i="0" u="none" strike="noStrike" kern="1200" baseline="0">
                        <a:solidFill>
                          <a:srgbClr val="C00000"/>
                        </a:solidFill>
                        <a:latin typeface="+mn-lt"/>
                        <a:ea typeface="+mn-ea"/>
                        <a:cs typeface="+mn-cs"/>
                      </a:defRPr>
                    </a:pPr>
                    <a:fld id="{C4F91586-97B1-4B5B-B426-9B699746C01D}" type="PERCENTAGE">
                      <a:rPr lang="en-US" sz="2000">
                        <a:solidFill>
                          <a:srgbClr val="C00000"/>
                        </a:solidFill>
                      </a:rPr>
                      <a:pPr lvl="1" algn="ctr" rtl="0">
                        <a:defRPr sz="2000" b="1" i="0" u="none" strike="noStrike" kern="1200" baseline="0">
                          <a:solidFill>
                            <a:srgbClr val="C00000"/>
                          </a:solidFill>
                          <a:latin typeface="+mn-lt"/>
                          <a:ea typeface="+mn-ea"/>
                          <a:cs typeface="+mn-cs"/>
                        </a:defRPr>
                      </a:pPr>
                      <a:t>[YÜZDE]</a:t>
                    </a:fld>
                    <a:endParaRPr lang="tr-TR"/>
                  </a:p>
                </c:rich>
              </c:tx>
              <c:numFmt formatCode="%\ 0.00" sourceLinked="0"/>
              <c:spPr>
                <a:noFill/>
                <a:ln>
                  <a:noFill/>
                </a:ln>
                <a:effectLst/>
              </c:spPr>
              <c:dLblPos val="bestFit"/>
              <c:showLegendKey val="0"/>
              <c:showVal val="0"/>
              <c:showCatName val="0"/>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c15:spPr>
                  <c15:layout>
                    <c:manualLayout>
                      <c:w val="1"/>
                      <c:h val="0.18251962962962964"/>
                    </c:manualLayout>
                  </c15:layout>
                  <c15:dlblFieldTable/>
                  <c15:showDataLabelsRange val="0"/>
                </c:ext>
                <c:ext xmlns:c16="http://schemas.microsoft.com/office/drawing/2014/chart" uri="{C3380CC4-5D6E-409C-BE32-E72D297353CC}">
                  <c16:uniqueId val="{00000003-5D9F-40F4-A256-823C9FF01F41}"/>
                </c:ext>
              </c:extLst>
            </c:dLbl>
            <c:numFmt formatCode="%\ 0.00" sourceLinked="0"/>
            <c:spPr>
              <a:noFill/>
              <a:ln>
                <a:noFill/>
              </a:ln>
              <a:effectLst/>
            </c:spPr>
            <c:txPr>
              <a:bodyPr rot="0" spcFirstLastPara="1" vertOverflow="ellipsis" vert="horz" wrap="square" lIns="0" tIns="0" rIns="0" bIns="0" anchor="ctr" anchorCtr="0">
                <a:spAutoFit/>
              </a:bodyPr>
              <a:lstStyle/>
              <a:p>
                <a:pPr algn="ctr">
                  <a:defRPr sz="1300" b="1" i="0" u="none" strike="noStrike" kern="1200" baseline="0">
                    <a:solidFill>
                      <a:schemeClr val="lt1"/>
                    </a:solidFill>
                    <a:latin typeface="+mn-lt"/>
                    <a:ea typeface="+mn-ea"/>
                    <a:cs typeface="+mn-cs"/>
                  </a:defRPr>
                </a:pPr>
                <a:endParaRPr lang="tr-TR"/>
              </a:p>
            </c:txPr>
            <c:dLblPos val="ctr"/>
            <c:showLegendKey val="0"/>
            <c:showVal val="0"/>
            <c:showCatName val="0"/>
            <c:showSerName val="0"/>
            <c:showPercent val="1"/>
            <c:showBubbleSize val="0"/>
            <c:separator>
</c:separator>
            <c:showLeaderLines val="0"/>
            <c:extLst>
              <c:ext xmlns:c15="http://schemas.microsoft.com/office/drawing/2012/chart" uri="{CE6537A1-D6FC-4f65-9D91-7224C49458BB}"/>
            </c:extLst>
          </c:dLbls>
          <c:cat>
            <c:strRef>
              <c:f>'Özet Tablo'!$X$19:$X$20</c:f>
              <c:strCache>
                <c:ptCount val="2"/>
                <c:pt idx="0">
                  <c:v>Kazançlar</c:v>
                </c:pt>
                <c:pt idx="1">
                  <c:v>Kesintiler</c:v>
                </c:pt>
              </c:strCache>
            </c:strRef>
          </c:cat>
          <c:val>
            <c:numRef>
              <c:f>'Özet Tablo'!$Y$19:$Y$20</c:f>
              <c:numCache>
                <c:formatCode>#,##0.00\ "₺"</c:formatCode>
                <c:ptCount val="2"/>
                <c:pt idx="0">
                  <c:v>68643.454514953875</c:v>
                </c:pt>
                <c:pt idx="1">
                  <c:v>26185.772719948262</c:v>
                </c:pt>
              </c:numCache>
            </c:numRef>
          </c:val>
          <c:extLst>
            <c:ext xmlns:c16="http://schemas.microsoft.com/office/drawing/2014/chart" uri="{C3380CC4-5D6E-409C-BE32-E72D297353CC}">
              <c16:uniqueId val="{00000004-5D9F-40F4-A256-823C9FF01F41}"/>
            </c:ext>
          </c:extLst>
        </c:ser>
        <c:dLbls>
          <c:dLblPos val="inEnd"/>
          <c:showLegendKey val="0"/>
          <c:showVal val="1"/>
          <c:showCatName val="1"/>
          <c:showSerName val="0"/>
          <c:showPercent val="0"/>
          <c:showBubbleSize val="0"/>
          <c:showLeaderLines val="0"/>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85000"/>
      </a:schemeClr>
    </a:solidFill>
    <a:ln w="9525" cap="flat" cmpd="sng" algn="ctr">
      <a:noFill/>
      <a:round/>
    </a:ln>
    <a:effectLst/>
  </c:spPr>
  <c:txPr>
    <a:bodyPr/>
    <a:lstStyle/>
    <a:p>
      <a:pPr>
        <a:defRPr/>
      </a:pPr>
      <a:endParaRPr lang="tr-T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17</xdr:col>
      <xdr:colOff>53463</xdr:colOff>
      <xdr:row>0</xdr:row>
      <xdr:rowOff>70921</xdr:rowOff>
    </xdr:from>
    <xdr:to>
      <xdr:col>17</xdr:col>
      <xdr:colOff>7290954</xdr:colOff>
      <xdr:row>27</xdr:row>
      <xdr:rowOff>398319</xdr:rowOff>
    </xdr:to>
    <xdr:graphicFrame macro="">
      <xdr:nvGraphicFramePr>
        <xdr:cNvPr id="7" name="Grafik 6">
          <a:extLst>
            <a:ext uri="{FF2B5EF4-FFF2-40B4-BE49-F238E27FC236}">
              <a16:creationId xmlns:a16="http://schemas.microsoft.com/office/drawing/2014/main" id="{80F8C963-D5D5-4BCD-8610-182E47B88E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17</xdr:col>
      <xdr:colOff>4966692</xdr:colOff>
      <xdr:row>8</xdr:row>
      <xdr:rowOff>125886</xdr:rowOff>
    </xdr:from>
    <xdr:to>
      <xdr:col>17</xdr:col>
      <xdr:colOff>7306692</xdr:colOff>
      <xdr:row>19</xdr:row>
      <xdr:rowOff>5969</xdr:rowOff>
    </xdr:to>
    <xdr:graphicFrame macro="">
      <xdr:nvGraphicFramePr>
        <xdr:cNvPr id="3" name="Grafik 2">
          <a:extLst>
            <a:ext uri="{FF2B5EF4-FFF2-40B4-BE49-F238E27FC236}">
              <a16:creationId xmlns:a16="http://schemas.microsoft.com/office/drawing/2014/main" id="{7ADA3213-C9FB-42E9-8CD0-901898DBD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LR363"/>
  <sheetViews>
    <sheetView showGridLines="0" showRowColHeaders="0" tabSelected="1" showWhiteSpace="0" zoomScale="55" zoomScaleNormal="55" zoomScaleSheetLayoutView="40" zoomScalePageLayoutView="55" workbookViewId="0">
      <pane xSplit="2" topLeftCell="C1" activePane="topRight" state="frozen"/>
      <selection activeCell="A6" sqref="A6"/>
      <selection pane="topRight" activeCell="G16" sqref="G16"/>
    </sheetView>
  </sheetViews>
  <sheetFormatPr defaultColWidth="0" defaultRowHeight="0" customHeight="1" zeroHeight="1" x14ac:dyDescent="0.25"/>
  <cols>
    <col min="1" max="2" width="12.7109375" style="10" customWidth="1"/>
    <col min="3" max="7" width="25.7109375" style="10" customWidth="1"/>
    <col min="8" max="13" width="12.7109375" style="10" customWidth="1"/>
    <col min="14" max="16" width="30.7109375" style="10" customWidth="1"/>
    <col min="17" max="17" width="12.7109375" style="10" customWidth="1"/>
    <col min="18" max="18" width="110.7109375" style="10" customWidth="1"/>
    <col min="19" max="19" width="12.7109375" style="10" customWidth="1"/>
    <col min="20" max="20" width="5.7109375" style="10" customWidth="1"/>
    <col min="21" max="21" width="80.7109375" style="10" customWidth="1"/>
    <col min="22" max="22" width="5.7109375" style="10" customWidth="1"/>
    <col min="23" max="23" width="1.7109375" style="10" customWidth="1"/>
    <col min="24" max="26" width="0.140625" style="31" customWidth="1"/>
    <col min="27" max="55" width="5.7109375" style="31" hidden="1" customWidth="1"/>
    <col min="56" max="58" width="20.7109375" style="31" hidden="1" customWidth="1"/>
    <col min="59" max="59" width="1.7109375" style="10" customWidth="1"/>
    <col min="60" max="123" width="0" style="10" hidden="1" customWidth="1"/>
    <col min="124" max="330" width="0" style="10" hidden="1"/>
    <col min="331" max="16384" width="5.7109375" style="10" hidden="1"/>
  </cols>
  <sheetData>
    <row r="1" spans="1:59" ht="39.950000000000003" customHeight="1" x14ac:dyDescent="0.25">
      <c r="A1" s="1" t="s">
        <v>87</v>
      </c>
      <c r="B1" s="1"/>
      <c r="C1" s="2" t="s">
        <v>82</v>
      </c>
      <c r="D1" s="2" t="s">
        <v>83</v>
      </c>
      <c r="E1" s="2" t="s">
        <v>84</v>
      </c>
      <c r="F1" s="2" t="s">
        <v>85</v>
      </c>
      <c r="G1" s="2" t="s">
        <v>86</v>
      </c>
      <c r="H1" s="2" t="s">
        <v>88</v>
      </c>
      <c r="I1" s="2" t="s">
        <v>89</v>
      </c>
      <c r="J1" s="3" t="s">
        <v>67</v>
      </c>
      <c r="K1" s="2" t="s">
        <v>44</v>
      </c>
      <c r="L1" s="2" t="s">
        <v>60</v>
      </c>
      <c r="M1" s="2" t="s">
        <v>69</v>
      </c>
      <c r="N1" s="2" t="s">
        <v>57</v>
      </c>
      <c r="O1" s="2" t="s">
        <v>68</v>
      </c>
      <c r="P1" s="4" t="s">
        <v>55</v>
      </c>
      <c r="Q1" s="64" t="s">
        <v>43</v>
      </c>
      <c r="R1" s="5"/>
      <c r="S1" s="65" t="s">
        <v>28</v>
      </c>
      <c r="T1" s="6"/>
      <c r="U1" s="7"/>
      <c r="V1" s="8"/>
      <c r="W1" s="6"/>
      <c r="X1" s="31" t="s">
        <v>17</v>
      </c>
      <c r="Y1" s="32">
        <f t="shared" ref="Y1:Y3" ca="1" si="0">IF(Z1&gt;0,Z1,Z1*-1)</f>
        <v>37460.242179025656</v>
      </c>
      <c r="Z1" s="32">
        <f ca="1">COUNTIF(Q1,"Ocak")*(AK15)
+COUNTIF(Q1,"Şubat")*(AK16)
+COUNTIF(Q1,"Mart")*(AK17)
+COUNTIF(Q1,"Nisan")*(AK18)
+COUNTIF(Q1,"Mayıs")*(AK19)
+COUNTIF(Q1,"Haziran")*(AK20)
+COUNTIF(Q1,"Temmuz")*(AK21)
+COUNTIF(Q1,"Ağustos")*(AK22)
+COUNTIF(Q1,"Eylül")*(AK23)
+COUNTIF(Q1,"Ekim")*(AK24)
+COUNTIF(Q1,"Kasım")*(AK25)
+COUNTIF(Q1,"Aralık")*(AK26)
+COUNTIF(Q1,"Yıllık Toplam")*(AK27)
+COUNTIF(Q1,"Yıllık Ortalama")*(AK28)</f>
        <v>37460.242179025656</v>
      </c>
      <c r="AE1" s="32">
        <f ca="1">(AF1+AI1+AM1+AN1+AR1)</f>
        <v>6000</v>
      </c>
      <c r="AF1" s="32">
        <f>(AI29)</f>
        <v>6000</v>
      </c>
      <c r="AG1" s="32">
        <f>(AF1)</f>
        <v>6000</v>
      </c>
      <c r="AH1" s="32">
        <f>IF(AF1-AG1&lt;=0,0,AF1-AG1)</f>
        <v>0</v>
      </c>
      <c r="AI1" s="32">
        <f>(AH1*0.00759*-1)</f>
        <v>0</v>
      </c>
      <c r="AJ1" s="32">
        <f>(AF1)</f>
        <v>6000</v>
      </c>
      <c r="AK1" s="32">
        <f>IF($AC$13*K15&gt;=AJ1,AJ1,$AC$13*K15)</f>
        <v>6000</v>
      </c>
      <c r="AL1" s="32">
        <f>(AJ1-AK1)</f>
        <v>0</v>
      </c>
      <c r="AM1" s="32">
        <f>(AL1*0.14*-1)</f>
        <v>0</v>
      </c>
      <c r="AN1" s="32">
        <f>(AL1*0.01*-1)</f>
        <v>0</v>
      </c>
      <c r="AO1" s="32">
        <f>(AF1+AM1+AN1)</f>
        <v>6000</v>
      </c>
      <c r="AP1" s="32">
        <f>IF($AC$14*K15&gt;=AO1,AO1,$AC$14*K15)</f>
        <v>6000</v>
      </c>
      <c r="AQ1" s="32">
        <f>IF(AO1-AP1&lt;=0,0,AO1-AP1)</f>
        <v>0</v>
      </c>
      <c r="AR1" s="32">
        <f ca="1">IF(AQ1*AT73*-1&gt;=0,0,AQ1*AT73*-1)</f>
        <v>0</v>
      </c>
      <c r="AS1" s="33">
        <v>30</v>
      </c>
      <c r="AT1" s="32">
        <f ca="1">(AE73)</f>
        <v>68063.950483417488</v>
      </c>
      <c r="AU1" s="32">
        <f ca="1">(AT1*0.205)</f>
        <v>13953.109849100585</v>
      </c>
      <c r="AV1" s="32">
        <f ca="1">(AT1*0.01)</f>
        <v>680.63950483417489</v>
      </c>
      <c r="AW1" s="32">
        <f ca="1">(AT1*0.05*-1)</f>
        <v>-3403.1975241708747</v>
      </c>
      <c r="AX1" s="32">
        <f ca="1">(AT1+AU1+AV1+AW1)</f>
        <v>79294.50231318138</v>
      </c>
      <c r="BG1" s="66"/>
    </row>
    <row r="2" spans="1:59" ht="39.950000000000003" customHeight="1" x14ac:dyDescent="0.25">
      <c r="A2" s="1"/>
      <c r="B2" s="1"/>
      <c r="C2" s="2"/>
      <c r="D2" s="2"/>
      <c r="E2" s="2"/>
      <c r="F2" s="2"/>
      <c r="G2" s="2"/>
      <c r="H2" s="2"/>
      <c r="I2" s="2"/>
      <c r="J2" s="3"/>
      <c r="K2" s="2"/>
      <c r="L2" s="2"/>
      <c r="M2" s="2"/>
      <c r="N2" s="2"/>
      <c r="O2" s="2"/>
      <c r="P2" s="4"/>
      <c r="Q2" s="64"/>
      <c r="R2" s="5"/>
      <c r="S2" s="65"/>
      <c r="T2" s="11"/>
      <c r="U2" s="12" t="str">
        <f>IF($S$1="Analık Hâli İzni",$Y$21,
IF($S$1="Annelik İzni",$Y$22,
IF($S$1="Babalık İzni",$Y$23,
IF($S$1="Cenaze İzni",$Y$24,
IF($S$1="Doğal Afet İzni",$Y$25,
IF($S$1="Engelli Çocuk İzni",$Y$26,
IF($S$1="Evlat Edinme İzni",$Y$27,
IF($S$1="Evlilik İzni",$Y$28,
IF($S$1="İş Arama İzni",$Y$29,
IF($S$1="Mazeret İzni",$Y$30,
IF($S$1="Süt İzni",$Y$31,
IF($S$1="Ücretli Sendikal İzin ve Sendika Temsilci Sayısı",$Y$32,
IF($S$1="Ücretli Yıllık İzin",$Y$33,
IF($S$1="Yol İzni",$Y$34))))))))))))))</f>
        <v>a) 01.01.2009 Tarihinden Önce İşe Başlayanlar İçin:
Hizmeti 6 ay olanlar için 0 iş günü ücretli yıllık izin verilir.
Hizmeti 1-5 yıl olanlar için 14 iş günü ücretli yıllık izin verilir.
Hizmeti 5-10 yıl olanlar için 23 iş günü ücretli yıllık izin verilir.
Hizmeti 10-15 yıl olanlar için 23 iş günü ücretli yıllık izin verilir.
Hizmeti 15 yıldan fazla olanlar için 26 iş günü ücretli yıllık izin verilir.
b) 01.01.2009 Tarihinden Sonra İşe Başlayanlar İçin:
Hizmeti 6 ay olanlar için 0 iş günü ücretli yıllık izin verilir.
Hizmeti 1-5 yıl olanlar için 14 iş günü ücretli yıllık izin verilir.
Hizmeti 5-10 yıl olanlar için 20 iş günü ücretli yıllık izin verilir.
Hizmeti 10-15 yıl olanlar için 20 iş günü ücretli yıllık izin verilir.
Hizmeti 15 yıldan fazla olanlar için 26 iş günü ücretli yıllık izin verilir.</v>
      </c>
      <c r="V2" s="13"/>
      <c r="W2" s="11"/>
      <c r="X2" s="31" t="s">
        <v>3</v>
      </c>
      <c r="Y2" s="32">
        <f t="shared" ca="1" si="0"/>
        <v>0</v>
      </c>
      <c r="Z2" s="32">
        <f ca="1">COUNTIF(Q1,"Ocak")*(AN15)
+COUNTIF(Q1,"Şubat")*(AN16)
+COUNTIF(Q1,"Mart")*(AN17)
+COUNTIF(Q1,"Nisan")*(AN18)
+COUNTIF(Q1,"Mayıs")*(AN19)
+COUNTIF(Q1,"Haziran")*(AN20)
+COUNTIF(Q1,"Temmuz")*(AN21)
+COUNTIF(Q1,"Ağustos")*(AN22)
+COUNTIF(Q1,"Eylül")*(AN23)
+COUNTIF(Q1,"Ekim")*(AN24)
+COUNTIF(Q1,"Kasım")*(AN25)
+COUNTIF(Q1,"Aralık")*(AN26)
+COUNTIF(Q1,"Yıllık Toplam")*(AN27)
+COUNTIF(Q1,"Yıllık Ortalama")*(AN28)</f>
        <v>0</v>
      </c>
      <c r="AA2" s="34">
        <f>(10%)</f>
        <v>0.1</v>
      </c>
      <c r="AB2" s="31" t="s">
        <v>0</v>
      </c>
      <c r="AC2" s="32">
        <f>($AC$8*$AA$2)</f>
        <v>3303</v>
      </c>
      <c r="AD2" s="32">
        <f>($AD$8*$AA$2)</f>
        <v>3303</v>
      </c>
      <c r="AE2" s="32">
        <f t="shared" ref="AE2:AE12" ca="1" si="1">(AF2+AI2+AM2+AN2+AR2)</f>
        <v>6000</v>
      </c>
      <c r="AF2" s="32">
        <f>(AI30)</f>
        <v>6000</v>
      </c>
      <c r="AG2" s="32">
        <f t="shared" ref="AG2:AG12" si="2">(AF2)</f>
        <v>6000</v>
      </c>
      <c r="AH2" s="32">
        <f t="shared" ref="AH2:AH12" si="3">IF(AF2-AG2&lt;=0,0,AF2-AG2)</f>
        <v>0</v>
      </c>
      <c r="AI2" s="32">
        <f t="shared" ref="AI2:AI12" si="4">(AH2*0.00759*-1)</f>
        <v>0</v>
      </c>
      <c r="AJ2" s="32">
        <f t="shared" ref="AJ2:AJ12" si="5">(AF2)</f>
        <v>6000</v>
      </c>
      <c r="AK2" s="32">
        <f>IF($AC$13*K16&gt;=AJ2,AJ2,$AC$13*K16)</f>
        <v>6000</v>
      </c>
      <c r="AL2" s="32">
        <f t="shared" ref="AL2:AL12" si="6">(AJ2-AK2)</f>
        <v>0</v>
      </c>
      <c r="AM2" s="32">
        <f t="shared" ref="AM2:AM12" si="7">(AL2*0.14*-1)</f>
        <v>0</v>
      </c>
      <c r="AN2" s="32">
        <f t="shared" ref="AN2:AN12" si="8">(AL2*0.01*-1)</f>
        <v>0</v>
      </c>
      <c r="AO2" s="32">
        <f t="shared" ref="AO2:AO12" si="9">(AF2+AM2+AN2)</f>
        <v>6000</v>
      </c>
      <c r="AP2" s="32">
        <f>IF($AC$14*K16&gt;=AO2,AO2,$AC$14*K16)</f>
        <v>6000</v>
      </c>
      <c r="AQ2" s="32">
        <f t="shared" ref="AQ2:AQ12" si="10">IF(AO2-AP2&lt;=0,0,AO2-AP2)</f>
        <v>0</v>
      </c>
      <c r="AR2" s="32">
        <f ca="1">IF(AQ2*AT74*-1&gt;=0,0,AQ2*AT74*-1)</f>
        <v>0</v>
      </c>
      <c r="AS2" s="33">
        <v>30</v>
      </c>
      <c r="AT2" s="32">
        <f ca="1">(AE74)</f>
        <v>68448.614287252931</v>
      </c>
      <c r="AU2" s="32">
        <f t="shared" ref="AU2:AU12" ca="1" si="11">(AT2*0.205)</f>
        <v>14031.96592888685</v>
      </c>
      <c r="AV2" s="32">
        <f t="shared" ref="AV2:AV12" ca="1" si="12">(AT2*0.01)</f>
        <v>684.48614287252929</v>
      </c>
      <c r="AW2" s="32">
        <f t="shared" ref="AW2:AW12" ca="1" si="13">(AT2*0.05*-1)</f>
        <v>-3422.4307143626465</v>
      </c>
      <c r="AX2" s="32">
        <f t="shared" ref="AX2:AX12" ca="1" si="14">(AT2+AU2+AV2+AW2)</f>
        <v>79742.635644649665</v>
      </c>
      <c r="BD2" s="31">
        <v>0</v>
      </c>
      <c r="BE2" s="35">
        <v>0</v>
      </c>
      <c r="BF2" s="36">
        <v>0</v>
      </c>
      <c r="BG2" s="66"/>
    </row>
    <row r="3" spans="1:59" ht="39.950000000000003" customHeight="1" x14ac:dyDescent="0.25">
      <c r="A3" s="1"/>
      <c r="B3" s="1"/>
      <c r="C3" s="2"/>
      <c r="D3" s="2"/>
      <c r="E3" s="2"/>
      <c r="F3" s="2"/>
      <c r="G3" s="2"/>
      <c r="H3" s="2"/>
      <c r="I3" s="2"/>
      <c r="J3" s="3"/>
      <c r="K3" s="2"/>
      <c r="L3" s="2"/>
      <c r="M3" s="2"/>
      <c r="N3" s="2"/>
      <c r="O3" s="2"/>
      <c r="P3" s="4"/>
      <c r="Q3" s="64"/>
      <c r="R3" s="5"/>
      <c r="S3" s="65"/>
      <c r="T3" s="11"/>
      <c r="U3" s="12"/>
      <c r="V3" s="13"/>
      <c r="W3" s="11"/>
      <c r="X3" s="31" t="s">
        <v>63</v>
      </c>
      <c r="Y3" s="32">
        <f t="shared" ca="1" si="0"/>
        <v>0</v>
      </c>
      <c r="Z3" s="32">
        <f ca="1">COUNTIF(Q1,"Ocak")*(AP15)
+COUNTIF(Q1,"Şubat")*(AP16)
+COUNTIF(Q1,"Mart")*(AP17)
+COUNTIF(Q1,"Nisan")*(AP18)
+COUNTIF(Q1,"Mayıs")*(AP19)
+COUNTIF(Q1,"Haziran")*(AP20)
+COUNTIF(Q1,"Temmuz")*(AP21)
+COUNTIF(Q1,"Ağustos")*(AP22)
+COUNTIF(Q1,"Eylül")*(AP23)
+COUNTIF(Q1,"Ekim")*(AP24)
+COUNTIF(Q1,"Kasım")*(AP25)
+COUNTIF(Q1,"Aralık")*(AP26)
+COUNTIF(Q1,"Yıllık Toplam")*(AP27)
+COUNTIF(Q1,"Yıllık Ortalama")*(AP28)</f>
        <v>0</v>
      </c>
      <c r="AA3" s="34">
        <f>(2%)</f>
        <v>0.02</v>
      </c>
      <c r="AB3" s="31" t="s">
        <v>0</v>
      </c>
      <c r="AC3" s="32">
        <f>($AC$8*$AA$3)</f>
        <v>660.6</v>
      </c>
      <c r="AD3" s="32">
        <f>($AD$8*$AA$3)</f>
        <v>660.6</v>
      </c>
      <c r="AE3" s="32">
        <f t="shared" ca="1" si="1"/>
        <v>6000</v>
      </c>
      <c r="AF3" s="32">
        <f>(AI31)</f>
        <v>6000</v>
      </c>
      <c r="AG3" s="32">
        <f t="shared" si="2"/>
        <v>6000</v>
      </c>
      <c r="AH3" s="32">
        <f t="shared" si="3"/>
        <v>0</v>
      </c>
      <c r="AI3" s="32">
        <f t="shared" si="4"/>
        <v>0</v>
      </c>
      <c r="AJ3" s="32">
        <f t="shared" si="5"/>
        <v>6000</v>
      </c>
      <c r="AK3" s="32">
        <f>IF($AC$13*K17&gt;=AJ3,AJ3,$AC$13*K17)</f>
        <v>6000</v>
      </c>
      <c r="AL3" s="32">
        <f t="shared" si="6"/>
        <v>0</v>
      </c>
      <c r="AM3" s="32">
        <f t="shared" si="7"/>
        <v>0</v>
      </c>
      <c r="AN3" s="32">
        <f t="shared" si="8"/>
        <v>0</v>
      </c>
      <c r="AO3" s="32">
        <f t="shared" si="9"/>
        <v>6000</v>
      </c>
      <c r="AP3" s="32">
        <f>IF($AC$14*K17&gt;=AO3,AO3,$AC$14*K17)</f>
        <v>6000</v>
      </c>
      <c r="AQ3" s="32">
        <f t="shared" si="10"/>
        <v>0</v>
      </c>
      <c r="AR3" s="32">
        <f ca="1">IF(AQ3*AT75*-1&gt;=0,0,AQ3*AT75*-1)</f>
        <v>0</v>
      </c>
      <c r="AS3" s="33">
        <v>30</v>
      </c>
      <c r="AT3" s="32">
        <f ca="1">(AE75)</f>
        <v>121362.46556674574</v>
      </c>
      <c r="AU3" s="32">
        <f t="shared" ca="1" si="11"/>
        <v>24879.305441182874</v>
      </c>
      <c r="AV3" s="32">
        <f t="shared" ca="1" si="12"/>
        <v>1213.6246556674575</v>
      </c>
      <c r="AW3" s="32">
        <f t="shared" ca="1" si="13"/>
        <v>-6068.123278337287</v>
      </c>
      <c r="AX3" s="32">
        <f t="shared" ca="1" si="14"/>
        <v>141387.27238525878</v>
      </c>
      <c r="BD3" s="31">
        <v>1</v>
      </c>
      <c r="BE3" s="35">
        <v>0.5</v>
      </c>
      <c r="BF3" s="36">
        <v>0.03</v>
      </c>
      <c r="BG3" s="66"/>
    </row>
    <row r="4" spans="1:59" ht="39.950000000000003" customHeight="1" x14ac:dyDescent="0.25">
      <c r="A4" s="1"/>
      <c r="B4" s="1"/>
      <c r="C4" s="2"/>
      <c r="D4" s="2"/>
      <c r="E4" s="2"/>
      <c r="F4" s="2"/>
      <c r="G4" s="2"/>
      <c r="H4" s="2"/>
      <c r="I4" s="2"/>
      <c r="J4" s="3"/>
      <c r="K4" s="2"/>
      <c r="L4" s="2"/>
      <c r="M4" s="2"/>
      <c r="N4" s="2"/>
      <c r="O4" s="2"/>
      <c r="P4" s="4"/>
      <c r="Q4" s="64"/>
      <c r="R4" s="5"/>
      <c r="S4" s="65"/>
      <c r="T4" s="11"/>
      <c r="U4" s="12"/>
      <c r="V4" s="13"/>
      <c r="W4" s="11"/>
      <c r="X4" s="31" t="s">
        <v>64</v>
      </c>
      <c r="Y4" s="32">
        <f t="shared" ref="Y4" ca="1" si="15">IF(Z4&gt;0,Z4,Z4*-1)</f>
        <v>0</v>
      </c>
      <c r="Z4" s="32">
        <f ca="1">COUNTIF(Q1,"Ocak")*(AR15)
+COUNTIF(Q1,"Şubat")*(AR16)
+COUNTIF(Q1,"Mart")*(AR17)
+COUNTIF(Q1,"Nisan")*(AR18)
+COUNTIF(Q1,"Mayıs")*(AR19)
+COUNTIF(Q1,"Haziran")*(AR20)
+COUNTIF(Q1,"Temmuz")*(AR21)
+COUNTIF(Q1,"Ağustos")*(AR22)
+COUNTIF(Q1,"Eylül")*(AR23)
+COUNTIF(Q1,"Ekim")*(AR24)
+COUNTIF(Q1,"Kasım")*(AR25)
+COUNTIF(Q1,"Aralık")*(AR26)
+COUNTIF(Q1,"Yıllık Toplam")*(AR27)
+COUNTIF(Q1,"Yıllık Ortalama")*(AR28)</f>
        <v>0</v>
      </c>
      <c r="AA4" s="34">
        <f>(1%)</f>
        <v>0.01</v>
      </c>
      <c r="AB4" s="31" t="s">
        <v>0</v>
      </c>
      <c r="AC4" s="32">
        <f>($AC$8*$AA$4)</f>
        <v>330.3</v>
      </c>
      <c r="AD4" s="32">
        <f>($AD$8*$AA$4)</f>
        <v>330.3</v>
      </c>
      <c r="AE4" s="32">
        <f t="shared" ca="1" si="1"/>
        <v>6000</v>
      </c>
      <c r="AF4" s="32">
        <f>(AI32)</f>
        <v>6000</v>
      </c>
      <c r="AG4" s="32">
        <f t="shared" si="2"/>
        <v>6000</v>
      </c>
      <c r="AH4" s="32">
        <f t="shared" si="3"/>
        <v>0</v>
      </c>
      <c r="AI4" s="32">
        <f t="shared" si="4"/>
        <v>0</v>
      </c>
      <c r="AJ4" s="32">
        <f t="shared" si="5"/>
        <v>6000</v>
      </c>
      <c r="AK4" s="32">
        <f>IF($AC$13*K18&gt;=AJ4,AJ4,$AC$13*K18)</f>
        <v>6000</v>
      </c>
      <c r="AL4" s="32">
        <f t="shared" si="6"/>
        <v>0</v>
      </c>
      <c r="AM4" s="32">
        <f t="shared" si="7"/>
        <v>0</v>
      </c>
      <c r="AN4" s="32">
        <f t="shared" si="8"/>
        <v>0</v>
      </c>
      <c r="AO4" s="32">
        <f t="shared" si="9"/>
        <v>6000</v>
      </c>
      <c r="AP4" s="32">
        <f>IF($AC$14*K18&gt;=AO4,AO4,$AC$14*K18)</f>
        <v>6000</v>
      </c>
      <c r="AQ4" s="32">
        <f t="shared" si="10"/>
        <v>0</v>
      </c>
      <c r="AR4" s="32">
        <f ca="1">IF(AQ4*AT76*-1&gt;=0,0,AQ4*AT76*-1)</f>
        <v>0</v>
      </c>
      <c r="AS4" s="33">
        <v>30</v>
      </c>
      <c r="AT4" s="32">
        <f ca="1">(AE76)</f>
        <v>69124.855616513727</v>
      </c>
      <c r="AU4" s="32">
        <f t="shared" ca="1" si="11"/>
        <v>14170.595401385313</v>
      </c>
      <c r="AV4" s="32">
        <f t="shared" ca="1" si="12"/>
        <v>691.2485561651373</v>
      </c>
      <c r="AW4" s="32">
        <f t="shared" ca="1" si="13"/>
        <v>-3456.2427808256866</v>
      </c>
      <c r="AX4" s="32">
        <f t="shared" ca="1" si="14"/>
        <v>80530.456793238496</v>
      </c>
      <c r="BD4" s="31">
        <v>2</v>
      </c>
      <c r="BE4" s="35">
        <v>1</v>
      </c>
      <c r="BF4" s="36">
        <v>0.04</v>
      </c>
      <c r="BG4" s="66"/>
    </row>
    <row r="5" spans="1:59" ht="39.950000000000003" customHeight="1" x14ac:dyDescent="0.25">
      <c r="A5" s="1"/>
      <c r="B5" s="1"/>
      <c r="C5" s="2"/>
      <c r="D5" s="2"/>
      <c r="E5" s="2"/>
      <c r="F5" s="2"/>
      <c r="G5" s="2"/>
      <c r="H5" s="2"/>
      <c r="I5" s="2"/>
      <c r="J5" s="3"/>
      <c r="K5" s="2"/>
      <c r="L5" s="2"/>
      <c r="M5" s="2"/>
      <c r="N5" s="2"/>
      <c r="O5" s="2"/>
      <c r="P5" s="4"/>
      <c r="Q5" s="64"/>
      <c r="R5" s="5"/>
      <c r="S5" s="65"/>
      <c r="T5" s="11"/>
      <c r="U5" s="12"/>
      <c r="V5" s="13"/>
      <c r="W5" s="11"/>
      <c r="X5" s="31" t="s">
        <v>65</v>
      </c>
      <c r="Y5" s="32">
        <f t="shared" ref="Y5:Y10" ca="1" si="16">IF(Z5&gt;0,Z5,Z5*-1)</f>
        <v>0</v>
      </c>
      <c r="Z5" s="32">
        <f ca="1">COUNTIF(Q1,"Ocak")*(AE29)
+COUNTIF(Q1,"Şubat")*(AE30)
+COUNTIF(Q1,"Mart")*(AE31)
+COUNTIF(Q1,"Nisan")*(AE32)
+COUNTIF(Q1,"Mayıs")*(AE33)
+COUNTIF(Q1,"Haziran")*(AE34)
+COUNTIF(Q1,"Temmuz")*(AE35)
+COUNTIF(Q1,"Ağustos")*(AE36)
+COUNTIF(Q1,"Eylül")*(AE37)
+COUNTIF(Q1,"Ekim")*(AE38)
+COUNTIF(Q1,"Kasım")*(AE39)
+COUNTIF(Q1,"Aralık")*(AE40)
+COUNTIF(Q1,"Yıllık Toplam")*(AE41)
+COUNTIF(Q1,"Yıllık Ortalama")*(AE42)</f>
        <v>0</v>
      </c>
      <c r="AA5" s="31" t="s">
        <v>0</v>
      </c>
      <c r="AB5" s="31" t="s">
        <v>0</v>
      </c>
      <c r="AC5" s="32">
        <f>($AC$16)</f>
        <v>3154.6307830000001</v>
      </c>
      <c r="AD5" s="32">
        <f>($AD$16)</f>
        <v>3581.1387760000002</v>
      </c>
      <c r="AE5" s="32">
        <f t="shared" ca="1" si="1"/>
        <v>6000</v>
      </c>
      <c r="AF5" s="32">
        <f>(AI33)</f>
        <v>6000</v>
      </c>
      <c r="AG5" s="32">
        <f t="shared" si="2"/>
        <v>6000</v>
      </c>
      <c r="AH5" s="32">
        <f t="shared" si="3"/>
        <v>0</v>
      </c>
      <c r="AI5" s="32">
        <f t="shared" si="4"/>
        <v>0</v>
      </c>
      <c r="AJ5" s="32">
        <f t="shared" si="5"/>
        <v>6000</v>
      </c>
      <c r="AK5" s="32">
        <f>IF($AC$13*K19&gt;=AJ5,AJ5,$AC$13*K19)</f>
        <v>6000</v>
      </c>
      <c r="AL5" s="32">
        <f t="shared" si="6"/>
        <v>0</v>
      </c>
      <c r="AM5" s="32">
        <f t="shared" si="7"/>
        <v>0</v>
      </c>
      <c r="AN5" s="32">
        <f t="shared" si="8"/>
        <v>0</v>
      </c>
      <c r="AO5" s="32">
        <f t="shared" si="9"/>
        <v>6000</v>
      </c>
      <c r="AP5" s="32">
        <f>IF($AC$14*K19&gt;=AO5,AO5,$AC$14*K19)</f>
        <v>6000</v>
      </c>
      <c r="AQ5" s="32">
        <f t="shared" si="10"/>
        <v>0</v>
      </c>
      <c r="AR5" s="32">
        <f ca="1">IF(AQ5*AT77*-1&gt;=0,0,AQ5*AT77*-1)</f>
        <v>0</v>
      </c>
      <c r="AS5" s="33">
        <v>30</v>
      </c>
      <c r="AT5" s="32">
        <f ca="1">(AE77)</f>
        <v>69124.855616513727</v>
      </c>
      <c r="AU5" s="32">
        <f t="shared" ca="1" si="11"/>
        <v>14170.595401385313</v>
      </c>
      <c r="AV5" s="32">
        <f t="shared" ca="1" si="12"/>
        <v>691.2485561651373</v>
      </c>
      <c r="AW5" s="32">
        <f t="shared" ca="1" si="13"/>
        <v>-3456.2427808256866</v>
      </c>
      <c r="AX5" s="32">
        <f t="shared" ca="1" si="14"/>
        <v>80530.456793238496</v>
      </c>
      <c r="BD5" s="31">
        <v>3</v>
      </c>
      <c r="BE5" s="35">
        <v>1.5</v>
      </c>
      <c r="BF5" s="36">
        <v>0.05</v>
      </c>
      <c r="BG5" s="66"/>
    </row>
    <row r="6" spans="1:59" ht="39.950000000000003" customHeight="1" x14ac:dyDescent="0.25">
      <c r="A6" s="1"/>
      <c r="B6" s="1"/>
      <c r="C6" s="2"/>
      <c r="D6" s="2"/>
      <c r="E6" s="2"/>
      <c r="F6" s="2"/>
      <c r="G6" s="2"/>
      <c r="H6" s="2"/>
      <c r="I6" s="2"/>
      <c r="J6" s="3"/>
      <c r="K6" s="2"/>
      <c r="L6" s="2"/>
      <c r="M6" s="2"/>
      <c r="N6" s="2"/>
      <c r="O6" s="2"/>
      <c r="P6" s="4"/>
      <c r="Q6" s="64"/>
      <c r="R6" s="5"/>
      <c r="S6" s="65"/>
      <c r="T6" s="11"/>
      <c r="U6" s="12"/>
      <c r="V6" s="13"/>
      <c r="W6" s="11"/>
      <c r="X6" s="31" t="s">
        <v>66</v>
      </c>
      <c r="Y6" s="32">
        <f t="shared" ca="1" si="16"/>
        <v>0</v>
      </c>
      <c r="Z6" s="32">
        <f ca="1">COUNTIF(Q1,"Ocak")*(AH29)
+COUNTIF(Q1,"Şubat")*(AH30)
+COUNTIF(Q1,"Mart")*(AH31)
+COUNTIF(Q1,"Nisan")*(AH32)
+COUNTIF(Q1,"Mayıs")*(AH33)
+COUNTIF(Q1,"Haziran")*(AH34)
+COUNTIF(Q1,"Temmuz")*(AH35)
+COUNTIF(Q1,"Ağustos")*(AH36)
+COUNTIF(Q1,"Eylül")*(AH37)
+COUNTIF(Q1,"Ekim")*(AH38)
+COUNTIF(Q1,"Kasım")*(AH39)
+COUNTIF(Q1,"Aralık")*(AH40)
+COUNTIF(Q1,"Yıllık Toplam")*(AH41)
+COUNTIF(Q1,"Yıllık Ortalama")*(AH42)</f>
        <v>0</v>
      </c>
      <c r="AA6" s="31" t="s">
        <v>0</v>
      </c>
      <c r="AB6" s="31" t="s">
        <v>0</v>
      </c>
      <c r="AC6" s="32">
        <f>($AC$17)</f>
        <v>693.93550000000005</v>
      </c>
      <c r="AD6" s="32">
        <f>($AD$17)</f>
        <v>787.75599999999997</v>
      </c>
      <c r="AE6" s="32">
        <f t="shared" ca="1" si="1"/>
        <v>6000</v>
      </c>
      <c r="AF6" s="32">
        <f>(AI34)</f>
        <v>6000</v>
      </c>
      <c r="AG6" s="32">
        <f t="shared" si="2"/>
        <v>6000</v>
      </c>
      <c r="AH6" s="32">
        <f t="shared" si="3"/>
        <v>0</v>
      </c>
      <c r="AI6" s="32">
        <f t="shared" si="4"/>
        <v>0</v>
      </c>
      <c r="AJ6" s="32">
        <f t="shared" si="5"/>
        <v>6000</v>
      </c>
      <c r="AK6" s="32">
        <f>IF($AC$13*K20&gt;=AJ6,AJ6,$AC$13*K20)</f>
        <v>6000</v>
      </c>
      <c r="AL6" s="32">
        <f t="shared" si="6"/>
        <v>0</v>
      </c>
      <c r="AM6" s="32">
        <f t="shared" si="7"/>
        <v>0</v>
      </c>
      <c r="AN6" s="32">
        <f t="shared" si="8"/>
        <v>0</v>
      </c>
      <c r="AO6" s="32">
        <f t="shared" si="9"/>
        <v>6000</v>
      </c>
      <c r="AP6" s="32">
        <f>IF($AC$14*K20&gt;=AO6,AO6,$AC$14*K20)</f>
        <v>6000</v>
      </c>
      <c r="AQ6" s="32">
        <f t="shared" si="10"/>
        <v>0</v>
      </c>
      <c r="AR6" s="32">
        <f ca="1">IF(AQ6*AT78*-1&gt;=0,0,AQ6*AT78*-1)</f>
        <v>0</v>
      </c>
      <c r="AS6" s="33">
        <v>30</v>
      </c>
      <c r="AT6" s="32">
        <f ca="1">(AE78)</f>
        <v>121657.22349641151</v>
      </c>
      <c r="AU6" s="32">
        <f t="shared" ca="1" si="11"/>
        <v>24939.730816764357</v>
      </c>
      <c r="AV6" s="32">
        <f t="shared" ca="1" si="12"/>
        <v>1216.5722349641151</v>
      </c>
      <c r="AW6" s="32">
        <f t="shared" ca="1" si="13"/>
        <v>-6082.8611748205758</v>
      </c>
      <c r="AX6" s="32">
        <f t="shared" ca="1" si="14"/>
        <v>141730.66537331941</v>
      </c>
      <c r="BD6" s="31">
        <v>4</v>
      </c>
      <c r="BE6" s="35">
        <v>2</v>
      </c>
      <c r="BF6" s="36">
        <v>0.06</v>
      </c>
      <c r="BG6" s="66"/>
    </row>
    <row r="7" spans="1:59" ht="39.950000000000003" customHeight="1" x14ac:dyDescent="0.25">
      <c r="A7" s="1"/>
      <c r="B7" s="1"/>
      <c r="C7" s="2"/>
      <c r="D7" s="2"/>
      <c r="E7" s="2"/>
      <c r="F7" s="2"/>
      <c r="G7" s="2"/>
      <c r="H7" s="2"/>
      <c r="I7" s="2"/>
      <c r="J7" s="3"/>
      <c r="K7" s="2"/>
      <c r="L7" s="2"/>
      <c r="M7" s="2"/>
      <c r="N7" s="2"/>
      <c r="O7" s="2"/>
      <c r="P7" s="4"/>
      <c r="Q7" s="64"/>
      <c r="R7" s="5"/>
      <c r="S7" s="65"/>
      <c r="T7" s="11"/>
      <c r="U7" s="12"/>
      <c r="V7" s="13"/>
      <c r="W7" s="11"/>
      <c r="X7" s="31" t="s">
        <v>6</v>
      </c>
      <c r="Y7" s="32">
        <f t="shared" ca="1" si="16"/>
        <v>6000</v>
      </c>
      <c r="Z7" s="32">
        <f ca="1">COUNTIF(Q1,"Ocak")*(AE1)
+COUNTIF(Q1,"Şubat")*(AE2)
+COUNTIF(Q1,"Mart")*(AE3)
+COUNTIF(Q1,"Nisan")*(AE4)
+COUNTIF(Q1,"Mayıs")*(AE5)
+COUNTIF(Q1,"Haziran")*(AE6)
+COUNTIF(Q1,"Temmuz")*(AE7)
+COUNTIF(Q1,"Ağustos")*(AE8)
+COUNTIF(Q1,"Eylül")*(AE9)
+COUNTIF(Q1,"Ekim")*(AE10)
+COUNTIF(Q1,"Kasım")*(AE11)
+COUNTIF(Q1,"Aralık")*(AE12)
+COUNTIF(Q1,"Yıllık Toplam")*(AE13)
+COUNTIF(Q1,"Yıllık Ortalama")*(AE14)</f>
        <v>6000</v>
      </c>
      <c r="AA7" s="31" t="s">
        <v>0</v>
      </c>
      <c r="AB7" s="31" t="s">
        <v>0</v>
      </c>
      <c r="AC7" s="32">
        <f>($AC$18)</f>
        <v>346.96775000000002</v>
      </c>
      <c r="AD7" s="32">
        <f>($AD$18)</f>
        <v>393.87799999999999</v>
      </c>
      <c r="AE7" s="32">
        <f t="shared" ca="1" si="1"/>
        <v>6000</v>
      </c>
      <c r="AF7" s="32">
        <f>(AI35)</f>
        <v>6000</v>
      </c>
      <c r="AG7" s="32">
        <f t="shared" si="2"/>
        <v>6000</v>
      </c>
      <c r="AH7" s="32">
        <f t="shared" si="3"/>
        <v>0</v>
      </c>
      <c r="AI7" s="32">
        <f t="shared" si="4"/>
        <v>0</v>
      </c>
      <c r="AJ7" s="32">
        <f t="shared" si="5"/>
        <v>6000</v>
      </c>
      <c r="AK7" s="32">
        <f>IF($AD$13*K21&gt;=AJ7,AJ7,$AD$13*K21)</f>
        <v>6000</v>
      </c>
      <c r="AL7" s="32">
        <f t="shared" si="6"/>
        <v>0</v>
      </c>
      <c r="AM7" s="32">
        <f t="shared" si="7"/>
        <v>0</v>
      </c>
      <c r="AN7" s="32">
        <f t="shared" si="8"/>
        <v>0</v>
      </c>
      <c r="AO7" s="32">
        <f t="shared" si="9"/>
        <v>6000</v>
      </c>
      <c r="AP7" s="32">
        <f>IF($AD$14*K21&gt;=AO7,AO7,$AD$14*K21)</f>
        <v>6000</v>
      </c>
      <c r="AQ7" s="32">
        <f t="shared" si="10"/>
        <v>0</v>
      </c>
      <c r="AR7" s="32">
        <f ca="1">IF(AQ7*AT79*-1&gt;=0,0,AQ7*AT79*-1)</f>
        <v>0</v>
      </c>
      <c r="AS7" s="33">
        <v>30</v>
      </c>
      <c r="AT7" s="32">
        <f ca="1">(AE79)</f>
        <v>82077.29676608312</v>
      </c>
      <c r="AU7" s="32">
        <f t="shared" ca="1" si="11"/>
        <v>16825.84583704704</v>
      </c>
      <c r="AV7" s="32">
        <f t="shared" ca="1" si="12"/>
        <v>820.77296766083123</v>
      </c>
      <c r="AW7" s="32">
        <f t="shared" ca="1" si="13"/>
        <v>-4103.8648383041564</v>
      </c>
      <c r="AX7" s="32">
        <f t="shared" ca="1" si="14"/>
        <v>95620.050732486838</v>
      </c>
      <c r="BD7" s="31">
        <v>5</v>
      </c>
      <c r="BE7" s="35">
        <v>2.5</v>
      </c>
      <c r="BF7" s="36">
        <v>7.0000000000000007E-2</v>
      </c>
      <c r="BG7" s="66"/>
    </row>
    <row r="8" spans="1:59" ht="39.950000000000003" customHeight="1" x14ac:dyDescent="0.25">
      <c r="A8" s="1"/>
      <c r="B8" s="1"/>
      <c r="C8" s="2"/>
      <c r="D8" s="2"/>
      <c r="E8" s="2"/>
      <c r="F8" s="2"/>
      <c r="G8" s="2"/>
      <c r="H8" s="2"/>
      <c r="I8" s="2"/>
      <c r="J8" s="3"/>
      <c r="K8" s="2"/>
      <c r="L8" s="2"/>
      <c r="M8" s="2"/>
      <c r="N8" s="2"/>
      <c r="O8" s="2"/>
      <c r="P8" s="4"/>
      <c r="Q8" s="64"/>
      <c r="R8" s="5"/>
      <c r="S8" s="65"/>
      <c r="T8" s="11"/>
      <c r="U8" s="12"/>
      <c r="V8" s="13"/>
      <c r="W8" s="11"/>
      <c r="X8" s="31" t="s">
        <v>16</v>
      </c>
      <c r="Y8" s="32">
        <f t="shared" si="16"/>
        <v>3376.8333333333335</v>
      </c>
      <c r="Z8" s="32">
        <f>COUNTIF(Q1,"Ocak")*(AK29)
+COUNTIF(Q1,"Şubat")*(AK30)
+COUNTIF(Q1,"Mart")*(AK31)
+COUNTIF(Q1,"Nisan")*(AK32)
+COUNTIF(Q1,"Mayıs")*(AK33)
+COUNTIF(Q1,"Haziran")*(AK34)
+COUNTIF(Q1,"Temmuz")*(AK35)
+COUNTIF(Q1,"Ağustos")*(AK36)
+COUNTIF(Q1,"Eylül")*(AK37)
+COUNTIF(Q1,"Ekim")*(AK38)
+COUNTIF(Q1,"Kasım")*(AK39)
+COUNTIF(Q1,"Aralık")*(AK40)
+COUNTIF(Q1,"Yıllık Toplam")*(AK41)
+COUNTIF(Q1,"Yıllık Ortalama")*(AK42)</f>
        <v>3376.8333333333335</v>
      </c>
      <c r="AA8" s="32" t="s">
        <v>0</v>
      </c>
      <c r="AB8" s="31" t="s">
        <v>0</v>
      </c>
      <c r="AC8" s="32">
        <v>33030</v>
      </c>
      <c r="AD8" s="32">
        <v>33030</v>
      </c>
      <c r="AE8" s="32">
        <f t="shared" ca="1" si="1"/>
        <v>6000</v>
      </c>
      <c r="AF8" s="32">
        <f>(AI36)</f>
        <v>6000</v>
      </c>
      <c r="AG8" s="32">
        <f t="shared" si="2"/>
        <v>6000</v>
      </c>
      <c r="AH8" s="32">
        <f t="shared" si="3"/>
        <v>0</v>
      </c>
      <c r="AI8" s="32">
        <f t="shared" si="4"/>
        <v>0</v>
      </c>
      <c r="AJ8" s="32">
        <f t="shared" si="5"/>
        <v>6000</v>
      </c>
      <c r="AK8" s="32">
        <f>IF($AD$13*K22&gt;=AJ8,AJ8,$AD$13*K22)</f>
        <v>6000</v>
      </c>
      <c r="AL8" s="32">
        <f t="shared" si="6"/>
        <v>0</v>
      </c>
      <c r="AM8" s="32">
        <f t="shared" si="7"/>
        <v>0</v>
      </c>
      <c r="AN8" s="32">
        <f t="shared" si="8"/>
        <v>0</v>
      </c>
      <c r="AO8" s="32">
        <f t="shared" si="9"/>
        <v>6000</v>
      </c>
      <c r="AP8" s="32">
        <f>IF($AD$14*K22&gt;=AO8,AO8,$AD$14*K22)</f>
        <v>6000</v>
      </c>
      <c r="AQ8" s="32">
        <f t="shared" si="10"/>
        <v>0</v>
      </c>
      <c r="AR8" s="32">
        <f ca="1">IF(AQ8*AT80*-1&gt;=0,0,AQ8*AT80*-1)</f>
        <v>0</v>
      </c>
      <c r="AS8" s="33">
        <v>30</v>
      </c>
      <c r="AT8" s="32">
        <f ca="1">(AE80)</f>
        <v>82418.292997177399</v>
      </c>
      <c r="AU8" s="32">
        <f t="shared" ca="1" si="11"/>
        <v>16895.750064421365</v>
      </c>
      <c r="AV8" s="32">
        <f t="shared" ca="1" si="12"/>
        <v>824.182929971774</v>
      </c>
      <c r="AW8" s="32">
        <f t="shared" ca="1" si="13"/>
        <v>-4120.9146498588698</v>
      </c>
      <c r="AX8" s="32">
        <f t="shared" ca="1" si="14"/>
        <v>96017.311341711669</v>
      </c>
      <c r="BD8" s="31">
        <v>6</v>
      </c>
      <c r="BE8" s="35">
        <v>3</v>
      </c>
      <c r="BF8" s="36">
        <v>0.08</v>
      </c>
      <c r="BG8" s="66"/>
    </row>
    <row r="9" spans="1:59" ht="39.950000000000003" customHeight="1" x14ac:dyDescent="0.25">
      <c r="A9" s="1"/>
      <c r="B9" s="1"/>
      <c r="C9" s="2"/>
      <c r="D9" s="2"/>
      <c r="E9" s="2"/>
      <c r="F9" s="2"/>
      <c r="G9" s="2"/>
      <c r="H9" s="2"/>
      <c r="I9" s="2"/>
      <c r="J9" s="3"/>
      <c r="K9" s="2"/>
      <c r="L9" s="2"/>
      <c r="M9" s="2"/>
      <c r="N9" s="2"/>
      <c r="O9" s="2"/>
      <c r="P9" s="4"/>
      <c r="Q9" s="64"/>
      <c r="R9" s="5"/>
      <c r="S9" s="65"/>
      <c r="T9" s="11"/>
      <c r="U9" s="12"/>
      <c r="V9" s="13"/>
      <c r="W9" s="11"/>
      <c r="X9" s="31" t="s">
        <v>21</v>
      </c>
      <c r="Y9" s="32">
        <f t="shared" ca="1" si="16"/>
        <v>12452.394379025647</v>
      </c>
      <c r="Z9" s="32">
        <f ca="1">COUNTIF(Q1,"Ocak")*(AO29)
+COUNTIF(Q1,"Şubat")*(AO30)
+COUNTIF(Q1,"Mart")*(AO31)
+COUNTIF(Q1,"Nisan")*(AO32)
+COUNTIF(Q1,"Mayıs")*(AO33)
+COUNTIF(Q1,"Haziran")*(AO34)
+COUNTIF(Q1,"Temmuz")*(AO35)
+COUNTIF(Q1,"Ağustos")*(AO36)
+COUNTIF(Q1,"Eylül")*(AO37)
+COUNTIF(Q1,"Ekim")*(AO38)
+COUNTIF(Q1,"Kasım")*(AO39)
+COUNTIF(Q1,"Aralık")*(AO40)
+COUNTIF(Q1,"Yıllık Toplam")*(AO41)
+COUNTIF(Q1,"Yıllık Ortalama")*(AO42)</f>
        <v>12452.394379025647</v>
      </c>
      <c r="AA9" s="32" t="s">
        <v>0</v>
      </c>
      <c r="AB9" s="31" t="s">
        <v>0</v>
      </c>
      <c r="AC9" s="32">
        <v>0</v>
      </c>
      <c r="AD9" s="32">
        <v>0</v>
      </c>
      <c r="AE9" s="32">
        <f t="shared" ca="1" si="1"/>
        <v>6000</v>
      </c>
      <c r="AF9" s="32">
        <f>(AI37)</f>
        <v>6000</v>
      </c>
      <c r="AG9" s="32">
        <f t="shared" si="2"/>
        <v>6000</v>
      </c>
      <c r="AH9" s="32">
        <f t="shared" si="3"/>
        <v>0</v>
      </c>
      <c r="AI9" s="32">
        <f t="shared" si="4"/>
        <v>0</v>
      </c>
      <c r="AJ9" s="32">
        <f t="shared" si="5"/>
        <v>6000</v>
      </c>
      <c r="AK9" s="32">
        <f>IF($AD$13*K23&gt;=AJ9,AJ9,$AD$13*K23)</f>
        <v>6000</v>
      </c>
      <c r="AL9" s="32">
        <f t="shared" si="6"/>
        <v>0</v>
      </c>
      <c r="AM9" s="32">
        <f t="shared" si="7"/>
        <v>0</v>
      </c>
      <c r="AN9" s="32">
        <f t="shared" si="8"/>
        <v>0</v>
      </c>
      <c r="AO9" s="32">
        <f t="shared" si="9"/>
        <v>6000</v>
      </c>
      <c r="AP9" s="32">
        <f>IF($AD$14*K23&gt;=AO9,AO9,$AD$14*K23)</f>
        <v>6000</v>
      </c>
      <c r="AQ9" s="32">
        <f t="shared" si="10"/>
        <v>0</v>
      </c>
      <c r="AR9" s="32">
        <f ca="1">IF(AQ9*AT81*-1&gt;=0,0,AQ9*AT81*-1)</f>
        <v>0</v>
      </c>
      <c r="AS9" s="33">
        <v>30</v>
      </c>
      <c r="AT9" s="32">
        <f ca="1">(AE81)</f>
        <v>145418.2929971774</v>
      </c>
      <c r="AU9" s="32">
        <f t="shared" ca="1" si="11"/>
        <v>29810.750064421365</v>
      </c>
      <c r="AV9" s="32">
        <f t="shared" ca="1" si="12"/>
        <v>1454.182929971774</v>
      </c>
      <c r="AW9" s="32">
        <f t="shared" ca="1" si="13"/>
        <v>-7270.9146498588707</v>
      </c>
      <c r="AX9" s="32">
        <f t="shared" ca="1" si="14"/>
        <v>169412.31134171167</v>
      </c>
      <c r="BD9" s="31">
        <v>7</v>
      </c>
      <c r="BE9" s="35">
        <v>3.5</v>
      </c>
      <c r="BF9" s="36">
        <v>0.09</v>
      </c>
      <c r="BG9" s="66"/>
    </row>
    <row r="10" spans="1:59" ht="39.950000000000003" customHeight="1" x14ac:dyDescent="0.25">
      <c r="A10" s="1"/>
      <c r="B10" s="1"/>
      <c r="C10" s="2"/>
      <c r="D10" s="2"/>
      <c r="E10" s="2"/>
      <c r="F10" s="2"/>
      <c r="G10" s="2"/>
      <c r="H10" s="2"/>
      <c r="I10" s="2"/>
      <c r="J10" s="3"/>
      <c r="K10" s="2"/>
      <c r="L10" s="2"/>
      <c r="M10" s="2"/>
      <c r="N10" s="2"/>
      <c r="O10" s="2"/>
      <c r="P10" s="4"/>
      <c r="Q10" s="64"/>
      <c r="R10" s="5"/>
      <c r="S10" s="65"/>
      <c r="T10" s="11"/>
      <c r="U10" s="12"/>
      <c r="V10" s="13"/>
      <c r="W10" s="11"/>
      <c r="X10" s="31" t="s">
        <v>7</v>
      </c>
      <c r="Y10" s="32">
        <f t="shared" ca="1" si="16"/>
        <v>4279.8517731592137</v>
      </c>
      <c r="Z10" s="32">
        <f ca="1">COUNTIF(Q1,"Ocak")*(AQ29)
+COUNTIF(Q1,"Şubat")*(AQ30)
+COUNTIF(Q1,"Mart")*(AQ31)
+COUNTIF(Q1,"Nisan")*(AQ32)
+COUNTIF(Q1,"Mayıs")*(AQ33)
+COUNTIF(Q1,"Haziran")*(AQ34)
+COUNTIF(Q1,"Temmuz")*(AQ35)
+COUNTIF(Q1,"Ağustos")*(AQ36)
+COUNTIF(Q1,"Eylül")*(AQ37)
+COUNTIF(Q1,"Ekim")*(AQ38)
+COUNTIF(Q1,"Kasım")*(AQ39)
+COUNTIF(Q1,"Aralık")*(AQ40)
+COUNTIF(Q1,"Yıllık Toplam")*(AQ41)
+COUNTIF(Q1,"Yıllık Ortalama")*(AQ42)</f>
        <v>4279.8517731592137</v>
      </c>
      <c r="AA10" s="32" t="s">
        <v>0</v>
      </c>
      <c r="AB10" s="31" t="s">
        <v>0</v>
      </c>
      <c r="AC10" s="32">
        <v>158</v>
      </c>
      <c r="AD10" s="32">
        <v>158</v>
      </c>
      <c r="AE10" s="32">
        <f t="shared" ca="1" si="1"/>
        <v>6000</v>
      </c>
      <c r="AF10" s="32">
        <f>(AI38)</f>
        <v>6000</v>
      </c>
      <c r="AG10" s="32">
        <f t="shared" si="2"/>
        <v>6000</v>
      </c>
      <c r="AH10" s="32">
        <f t="shared" si="3"/>
        <v>0</v>
      </c>
      <c r="AI10" s="32">
        <f t="shared" si="4"/>
        <v>0</v>
      </c>
      <c r="AJ10" s="32">
        <f t="shared" si="5"/>
        <v>6000</v>
      </c>
      <c r="AK10" s="32">
        <f>IF($AD$13*K24&gt;=AJ10,AJ10,$AD$13*K24)</f>
        <v>6000</v>
      </c>
      <c r="AL10" s="32">
        <f t="shared" si="6"/>
        <v>0</v>
      </c>
      <c r="AM10" s="32">
        <f t="shared" si="7"/>
        <v>0</v>
      </c>
      <c r="AN10" s="32">
        <f t="shared" si="8"/>
        <v>0</v>
      </c>
      <c r="AO10" s="32">
        <f t="shared" si="9"/>
        <v>6000</v>
      </c>
      <c r="AP10" s="32">
        <f>IF($AD$14*K24&gt;=AO10,AO10,$AD$14*K24)</f>
        <v>6000</v>
      </c>
      <c r="AQ10" s="32">
        <f t="shared" si="10"/>
        <v>0</v>
      </c>
      <c r="AR10" s="32">
        <f ca="1">IF(AQ10*AT82*-1&gt;=0,0,AQ10*AT82*-1)</f>
        <v>0</v>
      </c>
      <c r="AS10" s="33">
        <v>30</v>
      </c>
      <c r="AT10" s="32">
        <f ca="1">(AE82)</f>
        <v>82418.292997177399</v>
      </c>
      <c r="AU10" s="32">
        <f t="shared" ca="1" si="11"/>
        <v>16895.750064421365</v>
      </c>
      <c r="AV10" s="32">
        <f t="shared" ca="1" si="12"/>
        <v>824.182929971774</v>
      </c>
      <c r="AW10" s="32">
        <f t="shared" ca="1" si="13"/>
        <v>-4120.9146498588698</v>
      </c>
      <c r="AX10" s="32">
        <f t="shared" ca="1" si="14"/>
        <v>96017.311341711669</v>
      </c>
      <c r="BD10" s="31">
        <v>8</v>
      </c>
      <c r="BE10" s="35">
        <v>4</v>
      </c>
      <c r="BF10" s="36">
        <v>0.1</v>
      </c>
      <c r="BG10" s="66"/>
    </row>
    <row r="11" spans="1:59" ht="39.950000000000003" customHeight="1" x14ac:dyDescent="0.25">
      <c r="A11" s="1"/>
      <c r="B11" s="1"/>
      <c r="C11" s="2"/>
      <c r="D11" s="2"/>
      <c r="E11" s="2"/>
      <c r="F11" s="2"/>
      <c r="G11" s="2"/>
      <c r="H11" s="2"/>
      <c r="I11" s="2"/>
      <c r="J11" s="3"/>
      <c r="K11" s="2"/>
      <c r="L11" s="2"/>
      <c r="M11" s="2"/>
      <c r="N11" s="2"/>
      <c r="O11" s="2"/>
      <c r="P11" s="4"/>
      <c r="Q11" s="64"/>
      <c r="R11" s="5"/>
      <c r="S11" s="65"/>
      <c r="T11" s="11"/>
      <c r="U11" s="12"/>
      <c r="V11" s="13"/>
      <c r="W11" s="11"/>
      <c r="X11" s="31" t="s">
        <v>23</v>
      </c>
      <c r="Y11" s="32">
        <f t="shared" ref="Y11:Y20" si="17">IF(Z11&gt;0,Z11,Z11*-1)</f>
        <v>0</v>
      </c>
      <c r="Z11" s="32">
        <f>COUNTIF(Q1,"Ocak")*(AJ43)
+COUNTIF(Q1,"Şubat")*(AJ44)
+COUNTIF(Q1,"Mart")*(AJ45)
+COUNTIF(Q1,"Nisan")*(AJ46)
+COUNTIF(Q1,"Mayıs")*(AJ47)
+COUNTIF(Q1,"Haziran")*(AJ48)
+COUNTIF(Q1,"Temmuz")*(AJ49)
+COUNTIF(Q1,"Ağustos")*(AJ50)
+COUNTIF(Q1,"Eylül")*(AJ51)
+COUNTIF(Q1,"Ekim")*(AJ52)
+COUNTIF(Q1,"Kasım")*(AJ53)
+COUNTIF(Q1,"Aralık")*(AJ54)
+COUNTIF(Q1,"Yıllık Toplam")*(AJ55)
+COUNTIF(Q1,"Yıllık Ortalama")*(AJ56)</f>
        <v>0</v>
      </c>
      <c r="AA11" s="32" t="s">
        <v>0</v>
      </c>
      <c r="AB11" s="31" t="s">
        <v>0</v>
      </c>
      <c r="AC11" s="32">
        <v>1000</v>
      </c>
      <c r="AD11" s="32">
        <v>1000</v>
      </c>
      <c r="AE11" s="32">
        <f t="shared" ca="1" si="1"/>
        <v>6000</v>
      </c>
      <c r="AF11" s="32">
        <f>(AI39)</f>
        <v>6000</v>
      </c>
      <c r="AG11" s="32">
        <f t="shared" si="2"/>
        <v>6000</v>
      </c>
      <c r="AH11" s="32">
        <f t="shared" si="3"/>
        <v>0</v>
      </c>
      <c r="AI11" s="32">
        <f t="shared" si="4"/>
        <v>0</v>
      </c>
      <c r="AJ11" s="32">
        <f t="shared" si="5"/>
        <v>6000</v>
      </c>
      <c r="AK11" s="32">
        <f>IF($AD$13*K25&gt;=AJ11,AJ11,$AD$13*K25)</f>
        <v>6000</v>
      </c>
      <c r="AL11" s="32">
        <f t="shared" si="6"/>
        <v>0</v>
      </c>
      <c r="AM11" s="32">
        <f t="shared" si="7"/>
        <v>0</v>
      </c>
      <c r="AN11" s="32">
        <f t="shared" si="8"/>
        <v>0</v>
      </c>
      <c r="AO11" s="32">
        <f t="shared" si="9"/>
        <v>6000</v>
      </c>
      <c r="AP11" s="32">
        <f>IF($AD$14*K25&gt;=AO11,AO11,$AD$14*K25)</f>
        <v>6000</v>
      </c>
      <c r="AQ11" s="32">
        <f t="shared" si="10"/>
        <v>0</v>
      </c>
      <c r="AR11" s="32">
        <f ca="1">IF(AQ11*AT83*-1&gt;=0,0,AQ11*AT83*-1)</f>
        <v>0</v>
      </c>
      <c r="AS11" s="33">
        <v>30</v>
      </c>
      <c r="AT11" s="32">
        <f ca="1">(AE83)</f>
        <v>82418.292997177399</v>
      </c>
      <c r="AU11" s="32">
        <f t="shared" ca="1" si="11"/>
        <v>16895.750064421365</v>
      </c>
      <c r="AV11" s="32">
        <f t="shared" ca="1" si="12"/>
        <v>824.182929971774</v>
      </c>
      <c r="AW11" s="32">
        <f t="shared" ca="1" si="13"/>
        <v>-4120.9146498588698</v>
      </c>
      <c r="AX11" s="32">
        <f t="shared" ca="1" si="14"/>
        <v>96017.311341711669</v>
      </c>
      <c r="BD11" s="31">
        <v>9</v>
      </c>
      <c r="BE11" s="35">
        <v>4.5</v>
      </c>
      <c r="BF11" s="36">
        <v>0.11</v>
      </c>
      <c r="BG11" s="66"/>
    </row>
    <row r="12" spans="1:59" ht="39.950000000000003" customHeight="1" x14ac:dyDescent="0.25">
      <c r="A12" s="1"/>
      <c r="B12" s="1"/>
      <c r="C12" s="2"/>
      <c r="D12" s="2"/>
      <c r="E12" s="2"/>
      <c r="F12" s="2"/>
      <c r="G12" s="2"/>
      <c r="H12" s="2"/>
      <c r="I12" s="2"/>
      <c r="J12" s="3"/>
      <c r="K12" s="2"/>
      <c r="L12" s="2"/>
      <c r="M12" s="2"/>
      <c r="N12" s="2"/>
      <c r="O12" s="2"/>
      <c r="P12" s="4"/>
      <c r="Q12" s="64"/>
      <c r="R12" s="5"/>
      <c r="S12" s="65"/>
      <c r="T12" s="11"/>
      <c r="U12" s="12"/>
      <c r="V12" s="13"/>
      <c r="W12" s="11"/>
      <c r="X12" s="31" t="s">
        <v>24</v>
      </c>
      <c r="Y12" s="32">
        <f t="shared" si="17"/>
        <v>0</v>
      </c>
      <c r="Z12" s="32">
        <f>COUNTIF(Q1,"Ocak")*(AL43)*-1
+COUNTIF(Q1,"Şubat")*(AL44)*-1
+COUNTIF(Q1,"Mart")*(AL45)*-1
+COUNTIF(Q1,"Nisan")*(AL46)*-1
+COUNTIF(Q1,"Mayıs")*(AL47)*-1
+COUNTIF(Q1,"Haziran")*(AL48)*-1
+COUNTIF(Q1,"Temmuz")*(AL49)*-1
+COUNTIF(Q1,"Ağustos")*(AL50)*-1
+COUNTIF(Q1,"Eylül")*(AL51)*-1
+COUNTIF(Q1,"Ekim")*(AL52)*-1
+COUNTIF(Q1,"Kasım")*(AL53)*-1
+COUNTIF(Q1,"Aralık")*(AL54)*-1
+COUNTIF(Q1,"Yıllık Toplam")*(AL55)*-1
+COUNTIF(Q1,"Yıllık Ortalama")*(AL56)*-1</f>
        <v>0</v>
      </c>
      <c r="AA12" s="32" t="s">
        <v>0</v>
      </c>
      <c r="AB12" s="31" t="s">
        <v>0</v>
      </c>
      <c r="AC12" s="32">
        <v>1000</v>
      </c>
      <c r="AD12" s="32">
        <v>1000</v>
      </c>
      <c r="AE12" s="32">
        <f t="shared" ca="1" si="1"/>
        <v>6000</v>
      </c>
      <c r="AF12" s="32">
        <f>(AI40)</f>
        <v>6000</v>
      </c>
      <c r="AG12" s="32">
        <f t="shared" si="2"/>
        <v>6000</v>
      </c>
      <c r="AH12" s="32">
        <f t="shared" si="3"/>
        <v>0</v>
      </c>
      <c r="AI12" s="32">
        <f t="shared" si="4"/>
        <v>0</v>
      </c>
      <c r="AJ12" s="32">
        <f t="shared" si="5"/>
        <v>6000</v>
      </c>
      <c r="AK12" s="32">
        <f>IF($AD$13*K26&gt;=AJ12,AJ12,$AD$13*K26)</f>
        <v>6000</v>
      </c>
      <c r="AL12" s="32">
        <f t="shared" si="6"/>
        <v>0</v>
      </c>
      <c r="AM12" s="32">
        <f t="shared" si="7"/>
        <v>0</v>
      </c>
      <c r="AN12" s="32">
        <f t="shared" si="8"/>
        <v>0</v>
      </c>
      <c r="AO12" s="32">
        <f t="shared" si="9"/>
        <v>6000</v>
      </c>
      <c r="AP12" s="32">
        <f>IF($AD$14*K26&gt;=AO12,AO12,$AD$14*K26)</f>
        <v>6000</v>
      </c>
      <c r="AQ12" s="32">
        <f t="shared" si="10"/>
        <v>0</v>
      </c>
      <c r="AR12" s="32">
        <f ca="1">IF(AQ12*AT84*-1&gt;=0,0,AQ12*AT84*-1)</f>
        <v>0</v>
      </c>
      <c r="AS12" s="33">
        <v>30</v>
      </c>
      <c r="AT12" s="32">
        <f ca="1">(AE84)</f>
        <v>145418.2929971774</v>
      </c>
      <c r="AU12" s="32">
        <f t="shared" ca="1" si="11"/>
        <v>29810.750064421365</v>
      </c>
      <c r="AV12" s="32">
        <f t="shared" ca="1" si="12"/>
        <v>1454.182929971774</v>
      </c>
      <c r="AW12" s="32">
        <f t="shared" ca="1" si="13"/>
        <v>-7270.9146498588707</v>
      </c>
      <c r="AX12" s="32">
        <f t="shared" ca="1" si="14"/>
        <v>169412.31134171167</v>
      </c>
      <c r="BD12" s="31">
        <v>10</v>
      </c>
      <c r="BE12" s="35">
        <v>5</v>
      </c>
      <c r="BF12" s="36">
        <v>0.12</v>
      </c>
      <c r="BG12" s="66"/>
    </row>
    <row r="13" spans="1:59" ht="39.950000000000003" customHeight="1" x14ac:dyDescent="0.25">
      <c r="A13" s="1"/>
      <c r="B13" s="1"/>
      <c r="C13" s="2"/>
      <c r="D13" s="2"/>
      <c r="E13" s="2"/>
      <c r="F13" s="2"/>
      <c r="G13" s="2"/>
      <c r="H13" s="2"/>
      <c r="I13" s="2"/>
      <c r="J13" s="3"/>
      <c r="K13" s="2"/>
      <c r="L13" s="2"/>
      <c r="M13" s="2"/>
      <c r="N13" s="2"/>
      <c r="O13" s="2"/>
      <c r="P13" s="4"/>
      <c r="Q13" s="64"/>
      <c r="R13" s="5"/>
      <c r="S13" s="65"/>
      <c r="T13" s="11"/>
      <c r="U13" s="12"/>
      <c r="V13" s="13"/>
      <c r="W13" s="11"/>
      <c r="X13" s="31" t="s">
        <v>18</v>
      </c>
      <c r="Y13" s="32">
        <f t="shared" ca="1" si="17"/>
        <v>0</v>
      </c>
      <c r="Z13" s="32">
        <f ca="1">COUNTIF(Q1,"Ocak")*(AP43)*-1
+COUNTIF(Q1,"Şubat")*(AP44)*-1
+COUNTIF(Q1,"Mart")*(AP45)*-1
+COUNTIF(Q1,"Nisan")*(AP46)*-1
+COUNTIF(Q1,"Mayıs")*(AP47)*-1
+COUNTIF(Q1,"Haziran")*(AP48)*-1
+COUNTIF(Q1,"Temmuz")*(AP49)*-1
+COUNTIF(Q1,"Ağustos")*(AP50)*-1
+COUNTIF(Q1,"Eylül")*(AP51)*-1
+COUNTIF(Q1,"Ekim")*(AP52)*-1
+COUNTIF(Q1,"Kasım")*(AP53)*-1
+COUNTIF(Q1,"Aralık")*(AP54)*-1
+COUNTIF(Q1,"Yıllık Toplam")*(AP55)*-1
+COUNTIF(Q1,"Yıllık Ortalama")*(AP56)*-1</f>
        <v>0</v>
      </c>
      <c r="AA13" s="34">
        <f>(23.65%)</f>
        <v>0.23649999999999999</v>
      </c>
      <c r="AB13" s="31" t="s">
        <v>0</v>
      </c>
      <c r="AC13" s="32">
        <v>300</v>
      </c>
      <c r="AD13" s="32">
        <v>300</v>
      </c>
      <c r="AE13" s="32">
        <f ca="1">(AE1+AE2+AE3+AE4+AE5+AE6+AE7+AE8+AE9+AE10+AE11+AE12)</f>
        <v>72000</v>
      </c>
      <c r="AF13" s="32">
        <f t="shared" ref="AF13:AR13" si="18">(AF1+AF2+AF3+AF4+AF5+AF6+AF7+AF8+AF9+AF10+AF11+AF12)</f>
        <v>72000</v>
      </c>
      <c r="AG13" s="32">
        <f t="shared" ref="AG13" si="19">(AG1+AG2+AG3+AG4+AG5+AG6+AG7+AG8+AG9+AG10+AG11+AG12)</f>
        <v>72000</v>
      </c>
      <c r="AH13" s="32">
        <f t="shared" si="18"/>
        <v>0</v>
      </c>
      <c r="AI13" s="32">
        <f t="shared" si="18"/>
        <v>0</v>
      </c>
      <c r="AJ13" s="32">
        <f t="shared" ref="AJ13" si="20">(AJ1+AJ2+AJ3+AJ4+AJ5+AJ6+AJ7+AJ8+AJ9+AJ10+AJ11+AJ12)</f>
        <v>72000</v>
      </c>
      <c r="AK13" s="32">
        <f t="shared" si="18"/>
        <v>72000</v>
      </c>
      <c r="AL13" s="32">
        <f t="shared" si="18"/>
        <v>0</v>
      </c>
      <c r="AM13" s="32">
        <f t="shared" si="18"/>
        <v>0</v>
      </c>
      <c r="AN13" s="32">
        <f t="shared" si="18"/>
        <v>0</v>
      </c>
      <c r="AO13" s="32">
        <f t="shared" ref="AO13" si="21">(AO1+AO2+AO3+AO4+AO5+AO6+AO7+AO8+AO9+AO10+AO11+AO12)</f>
        <v>72000</v>
      </c>
      <c r="AP13" s="32">
        <f t="shared" si="18"/>
        <v>72000</v>
      </c>
      <c r="AQ13" s="32">
        <f t="shared" si="18"/>
        <v>0</v>
      </c>
      <c r="AR13" s="32">
        <f t="shared" ca="1" si="18"/>
        <v>0</v>
      </c>
      <c r="AS13" s="33">
        <f>(AS1+AS2+AS3+AS4+AS5+AS6+AS7+AS8+AS9+AS10+AS11+AS12)</f>
        <v>360</v>
      </c>
      <c r="AT13" s="32">
        <f t="shared" ref="AT13" ca="1" si="22">(AT1+AT2+AT3+AT4+AT5+AT6+AT7+AT8+AT9+AT10+AT11+AT12)</f>
        <v>1137950.7268188256</v>
      </c>
      <c r="AU13" s="32">
        <f t="shared" ref="AU13" ca="1" si="23">(AU1+AU2+AU3+AU4+AU5+AU6+AU7+AU8+AU9+AU10+AU11+AU12)</f>
        <v>233279.89899785913</v>
      </c>
      <c r="AV13" s="32">
        <f t="shared" ref="AV13" ca="1" si="24">(AV1+AV2+AV3+AV4+AV5+AV6+AV7+AV8+AV9+AV10+AV11+AV12)</f>
        <v>11379.507268188252</v>
      </c>
      <c r="AW13" s="32">
        <f t="shared" ref="AW13" ca="1" si="25">(AW1+AW2+AW3+AW4+AW5+AW6+AW7+AW8+AW9+AW10+AW11+AW12)</f>
        <v>-56897.536340941253</v>
      </c>
      <c r="AX13" s="32">
        <f t="shared" ref="AX13" ca="1" si="26">(AX1+AX2+AX3+AX4+AX5+AX6+AX7+AX8+AX9+AX10+AX11+AX12)</f>
        <v>1325712.5967439315</v>
      </c>
      <c r="BD13" s="31">
        <v>11</v>
      </c>
      <c r="BE13" s="35">
        <v>5.5</v>
      </c>
      <c r="BF13" s="36">
        <v>0.13</v>
      </c>
      <c r="BG13" s="66"/>
    </row>
    <row r="14" spans="1:59" ht="39.950000000000003" customHeight="1" x14ac:dyDescent="0.25">
      <c r="A14" s="1"/>
      <c r="B14" s="1"/>
      <c r="C14" s="2"/>
      <c r="D14" s="2"/>
      <c r="E14" s="2"/>
      <c r="F14" s="2"/>
      <c r="G14" s="2"/>
      <c r="H14" s="2"/>
      <c r="I14" s="2"/>
      <c r="J14" s="3"/>
      <c r="K14" s="2"/>
      <c r="L14" s="2"/>
      <c r="M14" s="2"/>
      <c r="N14" s="2"/>
      <c r="O14" s="2"/>
      <c r="P14" s="4"/>
      <c r="Q14" s="64"/>
      <c r="R14" s="5"/>
      <c r="S14" s="65"/>
      <c r="T14" s="11"/>
      <c r="U14" s="12"/>
      <c r="V14" s="13"/>
      <c r="W14" s="11"/>
      <c r="X14" s="31" t="s">
        <v>19</v>
      </c>
      <c r="Y14" s="32">
        <f t="shared" ca="1" si="17"/>
        <v>423.51613471290693</v>
      </c>
      <c r="Z14" s="32">
        <f ca="1">COUNTIF(Q1,"Ocak")*(AH73)*-1
+COUNTIF(Q1,"Şubat")*(AH74)*-1
+COUNTIF(Q1,"Mart")*(AH75)*-1
+COUNTIF(Q1,"Nisan")*(AH76)*-1
+COUNTIF(Q1,"Mayıs")*(AH77)*-1
+COUNTIF(Q1,"Haziran")*(AH78)*-1
+COUNTIF(Q1,"Temmuz")*(AH79)*-1
+COUNTIF(Q1,"Ağustos")*(AH80)*-1
+COUNTIF(Q1,"Eylül")*(AH81)*-1
+COUNTIF(Q1,"Ekim")*(AH82)*-1
+COUNTIF(Q1,"Kasım")*(AH83)*-1
+COUNTIF(Q1,"Aralık")*(AH84)*-1
+COUNTIF(Q1,"Yıllık Toplam")*(AH85)*-1
+COUNTIF(Q1,"Yıllık Ortalama")*(AH86)*-1</f>
        <v>423.51613471290693</v>
      </c>
      <c r="AA14" s="32" t="s">
        <v>0</v>
      </c>
      <c r="AB14" s="31" t="s">
        <v>0</v>
      </c>
      <c r="AC14" s="32">
        <v>300</v>
      </c>
      <c r="AD14" s="32">
        <v>300</v>
      </c>
      <c r="AE14" s="32">
        <f ca="1">(AE13/12)</f>
        <v>6000</v>
      </c>
      <c r="AF14" s="32">
        <f t="shared" ref="AF14:AR14" si="27">(AF13/12)</f>
        <v>6000</v>
      </c>
      <c r="AG14" s="32">
        <f t="shared" ref="AG14" si="28">(AG13/12)</f>
        <v>6000</v>
      </c>
      <c r="AH14" s="32">
        <f t="shared" si="27"/>
        <v>0</v>
      </c>
      <c r="AI14" s="32">
        <f t="shared" si="27"/>
        <v>0</v>
      </c>
      <c r="AJ14" s="32">
        <f t="shared" ref="AJ14" si="29">(AJ13/12)</f>
        <v>6000</v>
      </c>
      <c r="AK14" s="32">
        <f t="shared" si="27"/>
        <v>6000</v>
      </c>
      <c r="AL14" s="32">
        <f t="shared" si="27"/>
        <v>0</v>
      </c>
      <c r="AM14" s="32">
        <f t="shared" si="27"/>
        <v>0</v>
      </c>
      <c r="AN14" s="32">
        <f t="shared" si="27"/>
        <v>0</v>
      </c>
      <c r="AO14" s="32">
        <f t="shared" ref="AO14" si="30">(AO13/12)</f>
        <v>6000</v>
      </c>
      <c r="AP14" s="32">
        <f t="shared" si="27"/>
        <v>6000</v>
      </c>
      <c r="AQ14" s="32">
        <f t="shared" si="27"/>
        <v>0</v>
      </c>
      <c r="AR14" s="32">
        <f t="shared" ca="1" si="27"/>
        <v>0</v>
      </c>
      <c r="AS14" s="37" t="s">
        <v>0</v>
      </c>
      <c r="AT14" s="32">
        <f t="shared" ref="AT14" ca="1" si="31">(AT13/12)</f>
        <v>94829.227234902137</v>
      </c>
      <c r="AU14" s="32">
        <f t="shared" ref="AU14" ca="1" si="32">(AU13/12)</f>
        <v>19439.991583154926</v>
      </c>
      <c r="AV14" s="32">
        <f t="shared" ref="AV14" ca="1" si="33">(AV13/12)</f>
        <v>948.292272349021</v>
      </c>
      <c r="AW14" s="32">
        <f t="shared" ref="AW14" ca="1" si="34">(AW13/12)</f>
        <v>-4741.4613617451041</v>
      </c>
      <c r="AX14" s="32">
        <f t="shared" ref="AX14" ca="1" si="35">(AX13/12)</f>
        <v>110476.04972866096</v>
      </c>
      <c r="BD14" s="31">
        <v>12</v>
      </c>
      <c r="BE14" s="35">
        <v>6</v>
      </c>
      <c r="BF14" s="36">
        <v>0.14000000000000001</v>
      </c>
      <c r="BG14" s="66"/>
    </row>
    <row r="15" spans="1:59" ht="39.950000000000003" customHeight="1" x14ac:dyDescent="0.25">
      <c r="A15" s="15">
        <f ca="1">(AT73)</f>
        <v>0.15</v>
      </c>
      <c r="B15" s="16" t="s">
        <v>70</v>
      </c>
      <c r="C15" s="59">
        <v>52490</v>
      </c>
      <c r="D15" s="18">
        <f ca="1">(C15*AY73)</f>
        <v>37525.625899999999</v>
      </c>
      <c r="E15" s="17">
        <f>(C15/30)</f>
        <v>1749.6666666666667</v>
      </c>
      <c r="F15" s="18">
        <f ca="1">(E15*AY73)</f>
        <v>1250.8541966666669</v>
      </c>
      <c r="G15" s="60">
        <v>5730.11</v>
      </c>
      <c r="H15" s="61">
        <v>0</v>
      </c>
      <c r="I15" s="61">
        <v>0</v>
      </c>
      <c r="J15" s="61">
        <v>0</v>
      </c>
      <c r="K15" s="62">
        <v>20</v>
      </c>
      <c r="L15" s="63">
        <v>0</v>
      </c>
      <c r="M15" s="63" t="s">
        <v>1</v>
      </c>
      <c r="N15" s="19">
        <f ca="1">(AE73+AL43+AN43+AH73+AL73+AM73+AV73-O15)</f>
        <v>48832.170226735732</v>
      </c>
      <c r="O15" s="19">
        <f ca="1">(AP15+AR15+AE29+AH29+AE1+AO43)</f>
        <v>6000</v>
      </c>
      <c r="P15" s="20">
        <f ca="1">(N15+O15)</f>
        <v>54832.170226735732</v>
      </c>
      <c r="Q15" s="64"/>
      <c r="R15" s="5"/>
      <c r="S15" s="65"/>
      <c r="T15" s="11"/>
      <c r="U15" s="12"/>
      <c r="V15" s="13"/>
      <c r="W15" s="11"/>
      <c r="X15" s="31" t="s">
        <v>4</v>
      </c>
      <c r="Y15" s="32">
        <f t="shared" ca="1" si="17"/>
        <v>12436.091812886292</v>
      </c>
      <c r="Z15" s="32">
        <f ca="1">COUNTIF(Q1,"Ocak")*(AL73)*-1
+COUNTIF(Q1,"Şubat")*(AL74)*-1
+COUNTIF(Q1,"Mart")*(AL75)*-1
+COUNTIF(Q1,"Nisan")*(AL76)*-1
+COUNTIF(Q1,"Mayıs")*(AL77)*-1
+COUNTIF(Q1,"Haziran")*(AL78)*-1
+COUNTIF(Q1,"Temmuz")*(AL79)*-1
+COUNTIF(Q1,"Ağustos")*(AL80)*-1
+COUNTIF(Q1,"Eylül")*(AL81)*-1
+COUNTIF(Q1,"Ekim")*(AL82)*-1
+COUNTIF(Q1,"Kasım")*(AL83)*-1
+COUNTIF(Q1,"Aralık")*(AL84)*-1
+COUNTIF(Q1,"Yıllık Toplam")*(AL85)*-1
+COUNTIF(Q1,"Yıllık Ortalama")*(AL86)*-1</f>
        <v>12436.091812886292</v>
      </c>
      <c r="AE15" s="38">
        <v>46023</v>
      </c>
      <c r="AF15" s="39">
        <f t="shared" ref="AF15:AF26" si="36">EOMONTH(AE15,0)</f>
        <v>46053</v>
      </c>
      <c r="AG15" s="40">
        <f>COUNTIF($A$1,"Amir")*(DAY(AF15))
+COUNTIF($A$1,"Gişe")*(DAY(AF15))
+COUNTIF($A$1,"Çıma")*(DAY(AF15))
+COUNTIF($A$1,"Ustabaşı")*(DAY(AF15))
+COUNTIF($A$1,"İtfaiye Amiri")*(DAY(AF15))
+COUNTIF($A$1,"Usta")*(DAY(AF15))
+COUNTIF($A$1,"Vinç Operatörü")*(DAY(AF15))
+COUNTIF($A$1,"Forklift Operatörü")*(DAY(AF15))
+COUNTIF($A$1,"İtfaiyeci")*(DAY(AF15))
+COUNTIF($A$1,"Usta Yardımcısı")*(DAY(AF15))
+COUNTIF($A$1,"Gemi Havuzlama Personeli")*(DAY(AF15))
+COUNTIF($A$1,"Yakıt Yağ ve Atık Personeli")*(DAY(AF15))
+COUNTIF($A$1,"Tersane Saha Personeli")*(DAY(AF15))</f>
        <v>0</v>
      </c>
      <c r="AH15" s="40">
        <f>NETWORKDAYS.INTL(AE15,AF15,11)</f>
        <v>27</v>
      </c>
      <c r="AI15" s="40">
        <f>(AG15-AH15)</f>
        <v>-27</v>
      </c>
      <c r="AJ15" s="41">
        <f>(C15)</f>
        <v>52490</v>
      </c>
      <c r="AK15" s="32">
        <f ca="1">(AJ15*AY73)</f>
        <v>37525.625899999999</v>
      </c>
      <c r="AL15" s="42">
        <v>0</v>
      </c>
      <c r="AM15" s="32">
        <f>(0*AL15)</f>
        <v>0</v>
      </c>
      <c r="AN15" s="32">
        <f ca="1">(AM15*AY73)</f>
        <v>0</v>
      </c>
      <c r="AO15" s="32">
        <f>(C15/30/7.5*1.5*H15)</f>
        <v>0</v>
      </c>
      <c r="AP15" s="32">
        <f ca="1">(AO15*AY73)</f>
        <v>0</v>
      </c>
      <c r="AQ15" s="32">
        <f>(C15/30/7.5*1.25*I15)</f>
        <v>0</v>
      </c>
      <c r="AR15" s="32">
        <f ca="1">(AQ15*AY73)</f>
        <v>0</v>
      </c>
      <c r="AS15" s="32">
        <f>(C15/30/7.5*2*J15)</f>
        <v>0</v>
      </c>
      <c r="BD15" s="31">
        <v>13</v>
      </c>
      <c r="BE15" s="35">
        <v>6.5</v>
      </c>
      <c r="BF15" s="36">
        <v>0.15</v>
      </c>
      <c r="BG15" s="66"/>
    </row>
    <row r="16" spans="1:59" ht="39.950000000000003" customHeight="1" x14ac:dyDescent="0.25">
      <c r="A16" s="15">
        <f ca="1">(AT74)</f>
        <v>0.15</v>
      </c>
      <c r="B16" s="16" t="s">
        <v>71</v>
      </c>
      <c r="C16" s="59">
        <v>52490</v>
      </c>
      <c r="D16" s="18">
        <f ca="1">(C16*AY74)</f>
        <v>37525.625899999999</v>
      </c>
      <c r="E16" s="17">
        <f>(C16/30)</f>
        <v>1749.6666666666667</v>
      </c>
      <c r="F16" s="18">
        <f ca="1">(E16*AY74)</f>
        <v>1250.8541966666669</v>
      </c>
      <c r="G16" s="60">
        <v>5730.11</v>
      </c>
      <c r="H16" s="61">
        <v>0</v>
      </c>
      <c r="I16" s="61">
        <v>0</v>
      </c>
      <c r="J16" s="61">
        <v>0</v>
      </c>
      <c r="K16" s="62">
        <v>20</v>
      </c>
      <c r="L16" s="63">
        <v>0</v>
      </c>
      <c r="M16" s="63" t="s">
        <v>1</v>
      </c>
      <c r="N16" s="19">
        <f ca="1">(AE74+AL44+AN44+AH74+AL74+AM74+AV74-O16)</f>
        <v>49107.164861724748</v>
      </c>
      <c r="O16" s="19">
        <f ca="1">(AP16+AR16+AE30+AH30+AE2+AO44)</f>
        <v>6000</v>
      </c>
      <c r="P16" s="20">
        <f t="shared" ref="P16:P26" ca="1" si="37">(N16+O16)</f>
        <v>55107.164861724748</v>
      </c>
      <c r="Q16" s="64"/>
      <c r="R16" s="5"/>
      <c r="S16" s="65"/>
      <c r="T16" s="11"/>
      <c r="U16" s="12"/>
      <c r="V16" s="13"/>
      <c r="W16" s="11"/>
      <c r="X16" s="31" t="s">
        <v>5</v>
      </c>
      <c r="Y16" s="32">
        <f t="shared" ca="1" si="17"/>
        <v>888.292272349021</v>
      </c>
      <c r="Z16" s="32">
        <f ca="1">COUNTIF(Q1,"Ocak")*(AM73)*-1
+COUNTIF(Q1,"Şubat")*(AM74)*-1
+COUNTIF(Q1,"Mart")*(AM75)*-1
+COUNTIF(Q1,"Nisan")*(AM76)*-1
+COUNTIF(Q1,"Mayıs")*(AM77)*-1
+COUNTIF(Q1,"Haziran")*(AM78)*-1
+COUNTIF(Q1,"Temmuz")*(AM79)*-1
+COUNTIF(Q1,"Ağustos")*(AM80)*-1
+COUNTIF(Q1,"Eylül")*(AM81)*-1
+COUNTIF(Q1,"Ekim")*(AM82)*-1
+COUNTIF(Q1,"Kasım")*(AM83)*-1
+COUNTIF(Q1,"Aralık")*(AM84)*-1
+COUNTIF(Q1,"Yıllık Toplam")*(AM85)*-1
+COUNTIF(Q1,"Yıllık Ortalama")*(AM86)*-1</f>
        <v>888.292272349021</v>
      </c>
      <c r="AA16" s="43">
        <f>(2273)</f>
        <v>2273</v>
      </c>
      <c r="AB16" s="31" t="s">
        <v>0</v>
      </c>
      <c r="AC16" s="32">
        <f>($AA$29*$AA$16)</f>
        <v>3154.6307830000001</v>
      </c>
      <c r="AD16" s="32">
        <f>($AB$29*$AA$16)</f>
        <v>3581.1387760000002</v>
      </c>
      <c r="AE16" s="39">
        <f>(AF15+1)</f>
        <v>46054</v>
      </c>
      <c r="AF16" s="39">
        <f t="shared" si="36"/>
        <v>46081</v>
      </c>
      <c r="AG16" s="40">
        <f t="shared" ref="AG16:AG26" si="38">COUNTIF($A$1,"Amir")*(DAY(AF16))
+COUNTIF($A$1,"Gişe")*(DAY(AF16))
+COUNTIF($A$1,"Çıma")*(DAY(AF16))
+COUNTIF($A$1,"Ustabaşı")*(DAY(AF16))
+COUNTIF($A$1,"İtfaiye Amiri")*(DAY(AF16))
+COUNTIF($A$1,"Usta")*(DAY(AF16))
+COUNTIF($A$1,"Vinç Operatörü")*(DAY(AF16))
+COUNTIF($A$1,"Forklift Operatörü")*(DAY(AF16))
+COUNTIF($A$1,"İtfaiyeci")*(DAY(AF16))
+COUNTIF($A$1,"Usta Yardımcısı")*(DAY(AF16))
+COUNTIF($A$1,"Gemi Havuzlama Personeli")*(DAY(AF16))
+COUNTIF($A$1,"Yakıt Yağ ve Atık Personeli")*(DAY(AF16))
+COUNTIF($A$1,"Tersane Saha Personeli")*(DAY(AF16))</f>
        <v>0</v>
      </c>
      <c r="AH16" s="40">
        <f t="shared" ref="AH16:AH26" si="39">NETWORKDAYS.INTL(AE16,AF16,11)</f>
        <v>24</v>
      </c>
      <c r="AI16" s="40">
        <f t="shared" ref="AI16:AI26" si="40">(AG16-AH16)</f>
        <v>-24</v>
      </c>
      <c r="AJ16" s="41">
        <f>(C16)</f>
        <v>52490</v>
      </c>
      <c r="AK16" s="32">
        <f ca="1">(AJ16*AY74)</f>
        <v>37525.625899999999</v>
      </c>
      <c r="AL16" s="42">
        <v>0</v>
      </c>
      <c r="AM16" s="32">
        <f t="shared" ref="AM16:AM26" si="41">(0*AL16)</f>
        <v>0</v>
      </c>
      <c r="AN16" s="32">
        <f ca="1">(AM16*AY74)</f>
        <v>0</v>
      </c>
      <c r="AO16" s="32">
        <f>(C16/30/7.5*1.5*H16)</f>
        <v>0</v>
      </c>
      <c r="AP16" s="32">
        <f ca="1">(AO16*AY74)</f>
        <v>0</v>
      </c>
      <c r="AQ16" s="32">
        <f>(C16/30/7.5*1.25*I16)</f>
        <v>0</v>
      </c>
      <c r="AR16" s="32">
        <f ca="1">(AQ16*AY74)</f>
        <v>0</v>
      </c>
      <c r="AS16" s="32">
        <f>(C16/30/7.5*2*J16)</f>
        <v>0</v>
      </c>
      <c r="BD16" s="31">
        <v>14</v>
      </c>
      <c r="BE16" s="35">
        <v>7</v>
      </c>
      <c r="BF16" s="36">
        <v>0.16</v>
      </c>
      <c r="BG16" s="66"/>
    </row>
    <row r="17" spans="1:59" ht="39.950000000000003" customHeight="1" x14ac:dyDescent="0.25">
      <c r="A17" s="15">
        <f ca="1">(AT75)</f>
        <v>0.15708446135075588</v>
      </c>
      <c r="B17" s="16" t="s">
        <v>72</v>
      </c>
      <c r="C17" s="59">
        <v>52490</v>
      </c>
      <c r="D17" s="18">
        <f ca="1">(C17*AY75)</f>
        <v>37209.542030143995</v>
      </c>
      <c r="E17" s="17">
        <f>(C17/30)</f>
        <v>1749.6666666666667</v>
      </c>
      <c r="F17" s="18">
        <f ca="1">(E17*AY75)</f>
        <v>1240.3180676714667</v>
      </c>
      <c r="G17" s="60">
        <v>5730.11</v>
      </c>
      <c r="H17" s="61">
        <v>0</v>
      </c>
      <c r="I17" s="61">
        <v>0</v>
      </c>
      <c r="J17" s="61">
        <v>0</v>
      </c>
      <c r="K17" s="62">
        <v>20</v>
      </c>
      <c r="L17" s="63">
        <v>0</v>
      </c>
      <c r="M17" s="63" t="s">
        <v>1</v>
      </c>
      <c r="N17" s="19">
        <f ca="1">(AE75+AL45+AN45+AH75+AL75+AM75+AV75-O17)</f>
        <v>86241.122318082285</v>
      </c>
      <c r="O17" s="19">
        <f ca="1">(AP17+AR17+AE31+AH31+AE3+AO45)</f>
        <v>6000</v>
      </c>
      <c r="P17" s="20">
        <f t="shared" ca="1" si="37"/>
        <v>92241.122318082285</v>
      </c>
      <c r="Q17" s="64"/>
      <c r="R17" s="5"/>
      <c r="S17" s="65"/>
      <c r="T17" s="11"/>
      <c r="U17" s="12"/>
      <c r="V17" s="13"/>
      <c r="W17" s="11"/>
      <c r="X17" s="31" t="s">
        <v>20</v>
      </c>
      <c r="Y17" s="32">
        <f t="shared" ca="1" si="17"/>
        <v>12437.872499999998</v>
      </c>
      <c r="Z17" s="32">
        <f ca="1">COUNTIF(Q1,"Ocak")*(AV73)*-1
+COUNTIF(Q1,"Şubat")*(AV74)*-1
+COUNTIF(Q1,"Mart")*(AV75)*-1
+COUNTIF(Q1,"Nisan")*(AV76)*-1
+COUNTIF(Q1,"Mayıs")*(AV77)*-1
+COUNTIF(Q1,"Haziran")*(AV78)*-1
+COUNTIF(Q1,"Temmuz")*(AV79)*-1
+COUNTIF(Q1,"Ağustos")*(AV80)*-1
+COUNTIF(Q1,"Eylül")*(AV81)*-1
+COUNTIF(Q1,"Ekim")*(AV82)*-1
+COUNTIF(Q1,"Kasım")*(AV83)*-1
+COUNTIF(Q1,"Aralık")*(AV84)*-1
+COUNTIF(Q1,"Yıllık Toplam")*(AV85)*-1
+COUNTIF(Q1,"Yıllık Ortalama")*(AV86)*-1</f>
        <v>12437.872499999998</v>
      </c>
      <c r="AA17" s="43">
        <f>(250)</f>
        <v>250</v>
      </c>
      <c r="AB17" s="31" t="s">
        <v>0</v>
      </c>
      <c r="AC17" s="32">
        <f>($AA$29*$AA$17*2)</f>
        <v>693.93550000000005</v>
      </c>
      <c r="AD17" s="32">
        <f>($AB$29*$AA$17*2)</f>
        <v>787.75599999999997</v>
      </c>
      <c r="AE17" s="39">
        <f t="shared" ref="AE17:AE26" si="42">(AF16+1)</f>
        <v>46082</v>
      </c>
      <c r="AF17" s="39">
        <f t="shared" si="36"/>
        <v>46112</v>
      </c>
      <c r="AG17" s="40">
        <f t="shared" si="38"/>
        <v>0</v>
      </c>
      <c r="AH17" s="40">
        <f t="shared" si="39"/>
        <v>26</v>
      </c>
      <c r="AI17" s="40">
        <f t="shared" si="40"/>
        <v>-26</v>
      </c>
      <c r="AJ17" s="41">
        <f>(C17)</f>
        <v>52490</v>
      </c>
      <c r="AK17" s="32">
        <f ca="1">(AJ17*AY75)</f>
        <v>37209.542030143995</v>
      </c>
      <c r="AL17" s="42">
        <v>0</v>
      </c>
      <c r="AM17" s="32">
        <f t="shared" si="41"/>
        <v>0</v>
      </c>
      <c r="AN17" s="32">
        <f ca="1">(AM17*AY75)</f>
        <v>0</v>
      </c>
      <c r="AO17" s="32">
        <f>(C17/30/7.5*1.5*H17)</f>
        <v>0</v>
      </c>
      <c r="AP17" s="32">
        <f ca="1">(AO17*AY75)</f>
        <v>0</v>
      </c>
      <c r="AQ17" s="32">
        <f>(C17/30/7.5*1.25*I17)</f>
        <v>0</v>
      </c>
      <c r="AR17" s="32">
        <f ca="1">(AQ17*AY75)</f>
        <v>0</v>
      </c>
      <c r="AS17" s="32">
        <f>(C17/30/7.5*2*J17)</f>
        <v>0</v>
      </c>
      <c r="BD17" s="31">
        <v>15</v>
      </c>
      <c r="BE17" s="35">
        <v>7.5</v>
      </c>
      <c r="BF17" s="36">
        <v>0.17</v>
      </c>
      <c r="BG17" s="66"/>
    </row>
    <row r="18" spans="1:59" ht="39.950000000000003" customHeight="1" x14ac:dyDescent="0.25">
      <c r="A18" s="15">
        <f ca="1">(AT76)</f>
        <v>0.2</v>
      </c>
      <c r="B18" s="16" t="s">
        <v>73</v>
      </c>
      <c r="C18" s="59">
        <v>52490</v>
      </c>
      <c r="D18" s="18">
        <f ca="1">(C18*AY76)</f>
        <v>35294.800899999995</v>
      </c>
      <c r="E18" s="17">
        <f>(C18/30)</f>
        <v>1749.6666666666667</v>
      </c>
      <c r="F18" s="18">
        <f ca="1">(E18*AY76)</f>
        <v>1176.4933633333333</v>
      </c>
      <c r="G18" s="60">
        <v>5730.11</v>
      </c>
      <c r="H18" s="61">
        <v>0</v>
      </c>
      <c r="I18" s="61">
        <v>0</v>
      </c>
      <c r="J18" s="61">
        <v>0</v>
      </c>
      <c r="K18" s="62">
        <v>20</v>
      </c>
      <c r="L18" s="63">
        <v>0</v>
      </c>
      <c r="M18" s="63" t="s">
        <v>1</v>
      </c>
      <c r="N18" s="19">
        <f ca="1">(AE76+AL46+AN46+AH76+AL76+AM76+AV76-O18)</f>
        <v>46907.807319907333</v>
      </c>
      <c r="O18" s="19">
        <f ca="1">(AP18+AR18+AE32+AH32+AE4+AO46)</f>
        <v>6000</v>
      </c>
      <c r="P18" s="20">
        <f t="shared" ca="1" si="37"/>
        <v>52907.807319907333</v>
      </c>
      <c r="Q18" s="64"/>
      <c r="R18" s="5"/>
      <c r="S18" s="65"/>
      <c r="T18" s="11"/>
      <c r="U18" s="12"/>
      <c r="V18" s="13"/>
      <c r="W18" s="11"/>
      <c r="X18" s="31" t="s">
        <v>56</v>
      </c>
      <c r="Y18" s="32">
        <f t="shared" ca="1" si="17"/>
        <v>110476.04972866096</v>
      </c>
      <c r="Z18" s="32">
        <f ca="1">COUNTIF(Q1,"Ocak")*(AX1)
+COUNTIF(Q1,"Şubat")*(AX2)
+COUNTIF(Q1,"Mart")*(AX3)
+COUNTIF(Q1,"Nisan")*(AX4)
+COUNTIF(Q1,"Mayıs")*(AX5)
+COUNTIF(Q1,"Haziran")*(AX6)
+COUNTIF(Q1,"Temmuz")*(AX7)
+COUNTIF(Q1,"Ağustos")*(AX8)
+COUNTIF(Q1,"Eylül")*(AX9)
+COUNTIF(Q1,"Ekim")*(AX10)
+COUNTIF(Q1,"Kasım")*(AX11)
+COUNTIF(Q1,"Aralık")*(AX12)
+COUNTIF(Q1,"Yıllık Toplam")*(AX13)
+COUNTIF(Q1,"Yıllık Ortalama")*(AX14)</f>
        <v>110476.04972866096</v>
      </c>
      <c r="AA18" s="43">
        <f>(AA17)</f>
        <v>250</v>
      </c>
      <c r="AB18" s="31" t="s">
        <v>0</v>
      </c>
      <c r="AC18" s="32">
        <f>($AA$29*$AA$18)</f>
        <v>346.96775000000002</v>
      </c>
      <c r="AD18" s="32">
        <f>($AB$29*$AA$18)</f>
        <v>393.87799999999999</v>
      </c>
      <c r="AE18" s="39">
        <f t="shared" si="42"/>
        <v>46113</v>
      </c>
      <c r="AF18" s="39">
        <f t="shared" si="36"/>
        <v>46142</v>
      </c>
      <c r="AG18" s="40">
        <f t="shared" si="38"/>
        <v>0</v>
      </c>
      <c r="AH18" s="40">
        <f t="shared" si="39"/>
        <v>26</v>
      </c>
      <c r="AI18" s="40">
        <f t="shared" si="40"/>
        <v>-26</v>
      </c>
      <c r="AJ18" s="41">
        <f>(C18)</f>
        <v>52490</v>
      </c>
      <c r="AK18" s="32">
        <f ca="1">(AJ18*AY76)</f>
        <v>35294.800899999995</v>
      </c>
      <c r="AL18" s="42">
        <v>0</v>
      </c>
      <c r="AM18" s="32">
        <f t="shared" si="41"/>
        <v>0</v>
      </c>
      <c r="AN18" s="32">
        <f ca="1">(AM18*AY76)</f>
        <v>0</v>
      </c>
      <c r="AO18" s="32">
        <f>(C18/30/7.5*1.5*H18)</f>
        <v>0</v>
      </c>
      <c r="AP18" s="32">
        <f ca="1">(AO18*AY76)</f>
        <v>0</v>
      </c>
      <c r="AQ18" s="32">
        <f>(C18/30/7.5*1.25*I18)</f>
        <v>0</v>
      </c>
      <c r="AR18" s="32">
        <f ca="1">(AQ18*AY76)</f>
        <v>0</v>
      </c>
      <c r="AS18" s="32">
        <f>(C18/30/7.5*2*J18)</f>
        <v>0</v>
      </c>
      <c r="BD18" s="31">
        <v>16</v>
      </c>
      <c r="BE18" s="35">
        <v>8</v>
      </c>
      <c r="BF18" s="36">
        <v>0.18</v>
      </c>
      <c r="BG18" s="66"/>
    </row>
    <row r="19" spans="1:59" ht="39.950000000000003" customHeight="1" x14ac:dyDescent="0.25">
      <c r="A19" s="15">
        <f ca="1">(AT77)</f>
        <v>0.2</v>
      </c>
      <c r="B19" s="16" t="s">
        <v>74</v>
      </c>
      <c r="C19" s="59">
        <v>52490</v>
      </c>
      <c r="D19" s="18">
        <f ca="1">(C19*AY77)</f>
        <v>35294.800899999995</v>
      </c>
      <c r="E19" s="17">
        <f>(C19/30)</f>
        <v>1749.6666666666667</v>
      </c>
      <c r="F19" s="18">
        <f ca="1">(E19*AY77)</f>
        <v>1176.4933633333333</v>
      </c>
      <c r="G19" s="60">
        <v>5730.11</v>
      </c>
      <c r="H19" s="61">
        <v>0</v>
      </c>
      <c r="I19" s="61">
        <v>0</v>
      </c>
      <c r="J19" s="61">
        <v>0</v>
      </c>
      <c r="K19" s="62">
        <v>20</v>
      </c>
      <c r="L19" s="63">
        <v>0</v>
      </c>
      <c r="M19" s="63" t="s">
        <v>1</v>
      </c>
      <c r="N19" s="19">
        <f ca="1">(AE77+AL47+AN47+AH77+AL77+AM77+AV77-O19)</f>
        <v>46907.807319907333</v>
      </c>
      <c r="O19" s="19">
        <f ca="1">(AP19+AR19+AE33+AH33+AE5+AO47)</f>
        <v>6000</v>
      </c>
      <c r="P19" s="20">
        <f t="shared" ca="1" si="37"/>
        <v>52907.807319907333</v>
      </c>
      <c r="Q19" s="64"/>
      <c r="R19" s="5"/>
      <c r="S19" s="65"/>
      <c r="T19" s="11"/>
      <c r="U19" s="12"/>
      <c r="V19" s="13"/>
      <c r="W19" s="11"/>
      <c r="X19" s="44" t="s">
        <v>29</v>
      </c>
      <c r="Y19" s="32">
        <f t="shared" ca="1" si="17"/>
        <v>68643.454514953875</v>
      </c>
      <c r="Z19" s="32">
        <f ca="1">COUNTIF(Q1,"Ocak")*P15
+COUNTIF(Q1,"Şubat")*P16
+COUNTIF(Q1,"Mart")*P17
+COUNTIF(Q1,"Nisan")*P18
+COUNTIF(Q1,"Mayıs")*P19
+COUNTIF(Q1,"Haziran")*P20
+COUNTIF(Q1,"Temmuz")*P21
+COUNTIF(Q1,"Ağustos")*P22
+COUNTIF(Q1,"Eylül")*P23
+COUNTIF(Q1,"Ekim")*P24
+COUNTIF(Q1,"Kasım")*P25
+COUNTIF(Q1,"Aralık")*P26
+COUNTIF(Q1,"Yıllık Toplam")*(P27)*-1
+COUNTIF(Q1,"Yıllık Ortalama")*(P28)*-1</f>
        <v>-68643.454514953875</v>
      </c>
      <c r="AA19" s="44">
        <f>(1.5)</f>
        <v>1.5</v>
      </c>
      <c r="AB19" s="31" t="s">
        <v>0</v>
      </c>
      <c r="AC19" s="32">
        <f>($AC$17*$AA$19)</f>
        <v>1040.9032500000001</v>
      </c>
      <c r="AD19" s="32">
        <f>($AD$17*$AA$19)</f>
        <v>1181.634</v>
      </c>
      <c r="AE19" s="39">
        <f t="shared" si="42"/>
        <v>46143</v>
      </c>
      <c r="AF19" s="39">
        <f t="shared" si="36"/>
        <v>46173</v>
      </c>
      <c r="AG19" s="40">
        <f t="shared" si="38"/>
        <v>0</v>
      </c>
      <c r="AH19" s="40">
        <f t="shared" si="39"/>
        <v>26</v>
      </c>
      <c r="AI19" s="40">
        <f t="shared" si="40"/>
        <v>-26</v>
      </c>
      <c r="AJ19" s="41">
        <f>(C19)</f>
        <v>52490</v>
      </c>
      <c r="AK19" s="32">
        <f ca="1">(AJ19*AY77)</f>
        <v>35294.800899999995</v>
      </c>
      <c r="AL19" s="42">
        <v>0</v>
      </c>
      <c r="AM19" s="32">
        <f t="shared" si="41"/>
        <v>0</v>
      </c>
      <c r="AN19" s="32">
        <f ca="1">(AM19*AY77)</f>
        <v>0</v>
      </c>
      <c r="AO19" s="32">
        <f>(C19/30/7.5*1.5*H19)</f>
        <v>0</v>
      </c>
      <c r="AP19" s="32">
        <f ca="1">(AO19*AY77)</f>
        <v>0</v>
      </c>
      <c r="AQ19" s="32">
        <f>(C19/30/7.5*1.25*I19)</f>
        <v>0</v>
      </c>
      <c r="AR19" s="32">
        <f ca="1">(AQ19*AY77)</f>
        <v>0</v>
      </c>
      <c r="AS19" s="32">
        <f>(C19/30/7.5*2*J19)</f>
        <v>0</v>
      </c>
      <c r="BD19" s="31">
        <v>17</v>
      </c>
      <c r="BE19" s="35">
        <v>8.5</v>
      </c>
      <c r="BF19" s="36">
        <v>0.19</v>
      </c>
      <c r="BG19" s="66"/>
    </row>
    <row r="20" spans="1:59" ht="39.950000000000003" customHeight="1" x14ac:dyDescent="0.25">
      <c r="A20" s="15">
        <f ca="1">(AT78)</f>
        <v>0.20677485642836591</v>
      </c>
      <c r="B20" s="16" t="s">
        <v>75</v>
      </c>
      <c r="C20" s="59">
        <v>52490</v>
      </c>
      <c r="D20" s="18">
        <f ca="1">(C20*AY78)</f>
        <v>34992.53051816381</v>
      </c>
      <c r="E20" s="17">
        <f>(C20/30)</f>
        <v>1749.6666666666667</v>
      </c>
      <c r="F20" s="18">
        <f ca="1">(E20*AY78)</f>
        <v>1166.4176839387937</v>
      </c>
      <c r="G20" s="60">
        <v>5730.11</v>
      </c>
      <c r="H20" s="61">
        <v>0</v>
      </c>
      <c r="I20" s="61">
        <v>0</v>
      </c>
      <c r="J20" s="61">
        <v>0</v>
      </c>
      <c r="K20" s="62">
        <v>20</v>
      </c>
      <c r="L20" s="63">
        <v>0</v>
      </c>
      <c r="M20" s="63" t="s">
        <v>1</v>
      </c>
      <c r="N20" s="19">
        <f ca="1">(AE78+AL48+AN48+AH78+AL78+AM78+AV78-O20)</f>
        <v>81565.079345612015</v>
      </c>
      <c r="O20" s="19">
        <f ca="1">(AP20+AR20+AE34+AH34+AE6+AO48)</f>
        <v>6000</v>
      </c>
      <c r="P20" s="20">
        <f t="shared" ca="1" si="37"/>
        <v>87565.079345612015</v>
      </c>
      <c r="Q20" s="64"/>
      <c r="R20" s="5"/>
      <c r="S20" s="65"/>
      <c r="T20" s="11"/>
      <c r="U20" s="12"/>
      <c r="V20" s="13"/>
      <c r="W20" s="11"/>
      <c r="X20" s="44" t="s">
        <v>30</v>
      </c>
      <c r="Y20" s="32">
        <f t="shared" ca="1" si="17"/>
        <v>26185.772719948262</v>
      </c>
      <c r="Z20" s="32">
        <f ca="1">COUNTIF(Q1,"Ocak")*(AE73-P15)
+COUNTIF(Q1,"Şubat")*(AE74-P16)
+COUNTIF(Q1,"Mart")*(AE75-P17)
+COUNTIF(Q1,"Nisan")*(AE76-P18)
+COUNTIF(Q1,"Mayıs")*(AE77-P19)
+COUNTIF(Q1,"Haziran")*(AE78-P20)
+COUNTIF(Q1,"Temmuz")*(AE79-P21)
+COUNTIF(Q1,"Ağustos")*(AE80-P22)
+COUNTIF(Q1,"Eylül")*(AE81-P23)
+COUNTIF(Q1,"Ekim")*(AE82-P24)
+COUNTIF(Q1,"Kasım")*(AE83-P25)
+COUNTIF(Q1,"Aralık")*(AE84-P26)
+COUNTIF(Q1,"Yıllık Toplam")*(AE85-P27)*-1
+COUNTIF(Q1,"Yıllık Ortalama")*(AE86-P28)*-1</f>
        <v>-26185.772719948262</v>
      </c>
      <c r="AA20" s="31" t="s">
        <v>0</v>
      </c>
      <c r="AB20" s="31" t="s">
        <v>0</v>
      </c>
      <c r="AC20" s="32">
        <f>($AC$19/2)</f>
        <v>520.45162500000004</v>
      </c>
      <c r="AD20" s="32">
        <f>($AD$19/2)</f>
        <v>590.81700000000001</v>
      </c>
      <c r="AE20" s="39">
        <f t="shared" si="42"/>
        <v>46174</v>
      </c>
      <c r="AF20" s="39">
        <f t="shared" si="36"/>
        <v>46203</v>
      </c>
      <c r="AG20" s="40">
        <f t="shared" si="38"/>
        <v>0</v>
      </c>
      <c r="AH20" s="40">
        <f t="shared" si="39"/>
        <v>26</v>
      </c>
      <c r="AI20" s="40">
        <f t="shared" si="40"/>
        <v>-26</v>
      </c>
      <c r="AJ20" s="41">
        <f>(C20)</f>
        <v>52490</v>
      </c>
      <c r="AK20" s="32">
        <f ca="1">(AJ20*AY78)</f>
        <v>34992.53051816381</v>
      </c>
      <c r="AL20" s="42">
        <v>0</v>
      </c>
      <c r="AM20" s="32">
        <f t="shared" si="41"/>
        <v>0</v>
      </c>
      <c r="AN20" s="32">
        <f ca="1">(AM20*AY78)</f>
        <v>0</v>
      </c>
      <c r="AO20" s="32">
        <f>(C20/30/7.5*1.5*H20)</f>
        <v>0</v>
      </c>
      <c r="AP20" s="32">
        <f ca="1">(AO20*AY78)</f>
        <v>0</v>
      </c>
      <c r="AQ20" s="32">
        <f>(C20/30/7.5*1.25*I20)</f>
        <v>0</v>
      </c>
      <c r="AR20" s="32">
        <f ca="1">(AQ20*AY78)</f>
        <v>0</v>
      </c>
      <c r="AS20" s="32">
        <f>(C20/30/7.5*2*J20)</f>
        <v>0</v>
      </c>
      <c r="BD20" s="31">
        <v>18</v>
      </c>
      <c r="BE20" s="35">
        <v>9</v>
      </c>
      <c r="BF20" s="36">
        <v>0.2</v>
      </c>
      <c r="BG20" s="66"/>
    </row>
    <row r="21" spans="1:59" ht="39.950000000000003" customHeight="1" x14ac:dyDescent="0.25">
      <c r="A21" s="15">
        <f ca="1">(AT79)</f>
        <v>0.27</v>
      </c>
      <c r="B21" s="16" t="s">
        <v>76</v>
      </c>
      <c r="C21" s="59">
        <v>63000</v>
      </c>
      <c r="D21" s="18">
        <f ca="1">(C21*AY79)</f>
        <v>38613.329999999994</v>
      </c>
      <c r="E21" s="17">
        <f>(C21/30)</f>
        <v>2100</v>
      </c>
      <c r="F21" s="18">
        <f ca="1">(E21*AY79)</f>
        <v>1287.1109999999999</v>
      </c>
      <c r="G21" s="60">
        <v>7498.99</v>
      </c>
      <c r="H21" s="61">
        <v>0</v>
      </c>
      <c r="I21" s="61">
        <v>0</v>
      </c>
      <c r="J21" s="61">
        <v>0</v>
      </c>
      <c r="K21" s="62">
        <v>20</v>
      </c>
      <c r="L21" s="63">
        <v>0</v>
      </c>
      <c r="M21" s="63" t="s">
        <v>1</v>
      </c>
      <c r="N21" s="19">
        <f ca="1">(AE79+AL49+AN49+AH79+AL79+AM79+AV79-O21)</f>
        <v>51416.983268716067</v>
      </c>
      <c r="O21" s="19">
        <f ca="1">(AP21+AR21+AE35+AH35+AE7+AO49)</f>
        <v>6000</v>
      </c>
      <c r="P21" s="20">
        <f t="shared" ca="1" si="37"/>
        <v>57416.983268716067</v>
      </c>
      <c r="Q21" s="64"/>
      <c r="R21" s="5"/>
      <c r="S21" s="65"/>
      <c r="T21" s="11"/>
      <c r="U21" s="12"/>
      <c r="V21" s="13"/>
      <c r="W21" s="11"/>
      <c r="X21" s="45" t="s">
        <v>10</v>
      </c>
      <c r="Y21" s="45" t="s">
        <v>58</v>
      </c>
      <c r="AE21" s="39">
        <f t="shared" si="42"/>
        <v>46204</v>
      </c>
      <c r="AF21" s="39">
        <f t="shared" si="36"/>
        <v>46234</v>
      </c>
      <c r="AG21" s="40">
        <f t="shared" si="38"/>
        <v>0</v>
      </c>
      <c r="AH21" s="40">
        <f t="shared" si="39"/>
        <v>27</v>
      </c>
      <c r="AI21" s="40">
        <f t="shared" si="40"/>
        <v>-27</v>
      </c>
      <c r="AJ21" s="41">
        <f>(C21)</f>
        <v>63000</v>
      </c>
      <c r="AK21" s="32">
        <f ca="1">(AJ21*AY79)</f>
        <v>38613.329999999994</v>
      </c>
      <c r="AL21" s="42">
        <v>0</v>
      </c>
      <c r="AM21" s="32">
        <f t="shared" si="41"/>
        <v>0</v>
      </c>
      <c r="AN21" s="32">
        <f ca="1">(AM21*AY79)</f>
        <v>0</v>
      </c>
      <c r="AO21" s="32">
        <f>(C21/30/7.5*1.5*H21)</f>
        <v>0</v>
      </c>
      <c r="AP21" s="32">
        <f ca="1">(AO21*AY79)</f>
        <v>0</v>
      </c>
      <c r="AQ21" s="32">
        <f>(C21/30/7.5*1.25*I21)</f>
        <v>0</v>
      </c>
      <c r="AR21" s="32">
        <f ca="1">(AQ21*AY79)</f>
        <v>0</v>
      </c>
      <c r="AS21" s="32">
        <f>(C21/30/7.5*2*J21)</f>
        <v>0</v>
      </c>
      <c r="BD21" s="31">
        <v>19</v>
      </c>
      <c r="BE21" s="35">
        <v>9.5</v>
      </c>
      <c r="BF21" s="36">
        <v>0.21</v>
      </c>
      <c r="BG21" s="66"/>
    </row>
    <row r="22" spans="1:59" ht="39.950000000000003" customHeight="1" x14ac:dyDescent="0.25">
      <c r="A22" s="15">
        <f ca="1">(AT80)</f>
        <v>0.27</v>
      </c>
      <c r="B22" s="16" t="s">
        <v>77</v>
      </c>
      <c r="C22" s="59">
        <v>63000</v>
      </c>
      <c r="D22" s="18">
        <f ca="1">(C22*AY80)</f>
        <v>38613.329999999994</v>
      </c>
      <c r="E22" s="17">
        <f>(C22/30)</f>
        <v>2100</v>
      </c>
      <c r="F22" s="18">
        <f ca="1">(E22*AY80)</f>
        <v>1287.1109999999999</v>
      </c>
      <c r="G22" s="60">
        <v>7498.99</v>
      </c>
      <c r="H22" s="61">
        <v>0</v>
      </c>
      <c r="I22" s="61">
        <v>0</v>
      </c>
      <c r="J22" s="61">
        <v>0</v>
      </c>
      <c r="K22" s="62">
        <v>20</v>
      </c>
      <c r="L22" s="63">
        <v>0</v>
      </c>
      <c r="M22" s="63" t="s">
        <v>1</v>
      </c>
      <c r="N22" s="19">
        <f ca="1">(AE80+AL50+AN50+AH80+AL80+AM80+AV80-O22)</f>
        <v>52703.331903752209</v>
      </c>
      <c r="O22" s="19">
        <f ca="1">(AP22+AR22+AE36+AH36+AE8+AO50)</f>
        <v>6000</v>
      </c>
      <c r="P22" s="20">
        <f t="shared" ca="1" si="37"/>
        <v>58703.331903752209</v>
      </c>
      <c r="Q22" s="64"/>
      <c r="R22" s="5"/>
      <c r="S22" s="65"/>
      <c r="T22" s="11"/>
      <c r="U22" s="12"/>
      <c r="V22" s="13"/>
      <c r="W22" s="11"/>
      <c r="X22" s="46" t="s">
        <v>9</v>
      </c>
      <c r="Y22" s="47" t="s">
        <v>90</v>
      </c>
      <c r="AA22" s="31">
        <f>(1500)</f>
        <v>1500</v>
      </c>
      <c r="AB22" s="31" t="s">
        <v>0</v>
      </c>
      <c r="AC22" s="32">
        <f>($AA$29*$AA$22)</f>
        <v>2081.8065000000001</v>
      </c>
      <c r="AD22" s="32">
        <f>($AB$29*$AA$22)</f>
        <v>2363.268</v>
      </c>
      <c r="AE22" s="39">
        <f t="shared" si="42"/>
        <v>46235</v>
      </c>
      <c r="AF22" s="39">
        <f t="shared" si="36"/>
        <v>46265</v>
      </c>
      <c r="AG22" s="40">
        <f t="shared" si="38"/>
        <v>0</v>
      </c>
      <c r="AH22" s="40">
        <f t="shared" si="39"/>
        <v>26</v>
      </c>
      <c r="AI22" s="40">
        <f t="shared" si="40"/>
        <v>-26</v>
      </c>
      <c r="AJ22" s="41">
        <f>(C22)</f>
        <v>63000</v>
      </c>
      <c r="AK22" s="32">
        <f ca="1">(AJ22*AY80)</f>
        <v>38613.329999999994</v>
      </c>
      <c r="AL22" s="42">
        <v>0</v>
      </c>
      <c r="AM22" s="32">
        <f t="shared" si="41"/>
        <v>0</v>
      </c>
      <c r="AN22" s="32">
        <f ca="1">(AM22*AY80)</f>
        <v>0</v>
      </c>
      <c r="AO22" s="32">
        <f>(C22/30/7.5*1.5*H22)</f>
        <v>0</v>
      </c>
      <c r="AP22" s="32">
        <f ca="1">(AO22*AY80)</f>
        <v>0</v>
      </c>
      <c r="AQ22" s="32">
        <f>(C22/30/7.5*1.25*I22)</f>
        <v>0</v>
      </c>
      <c r="AR22" s="32">
        <f ca="1">(AQ22*AY80)</f>
        <v>0</v>
      </c>
      <c r="AS22" s="32">
        <f>(C22/30/7.5*2*J22)</f>
        <v>0</v>
      </c>
      <c r="BD22" s="31">
        <v>20</v>
      </c>
      <c r="BE22" s="35">
        <v>10</v>
      </c>
      <c r="BF22" s="36">
        <v>0.22</v>
      </c>
      <c r="BG22" s="66"/>
    </row>
    <row r="23" spans="1:59" ht="39.950000000000003" customHeight="1" x14ac:dyDescent="0.25">
      <c r="A23" s="15">
        <f ca="1">(AT81)</f>
        <v>0.27</v>
      </c>
      <c r="B23" s="16" t="s">
        <v>78</v>
      </c>
      <c r="C23" s="59">
        <v>63000</v>
      </c>
      <c r="D23" s="18">
        <f ca="1">(C23*AY81)</f>
        <v>38613.329999999994</v>
      </c>
      <c r="E23" s="17">
        <f>(C23/30)</f>
        <v>2100</v>
      </c>
      <c r="F23" s="18">
        <f ca="1">(E23*AY81)</f>
        <v>1287.1109999999999</v>
      </c>
      <c r="G23" s="60">
        <v>7498.99</v>
      </c>
      <c r="H23" s="61">
        <v>0</v>
      </c>
      <c r="I23" s="61">
        <v>0</v>
      </c>
      <c r="J23" s="61">
        <v>0</v>
      </c>
      <c r="K23" s="62">
        <v>20</v>
      </c>
      <c r="L23" s="63">
        <v>0</v>
      </c>
      <c r="M23" s="63" t="s">
        <v>1</v>
      </c>
      <c r="N23" s="19">
        <f ca="1">(AE81+AL51+AN51+AH81+AL81+AM81+AV81-O23)</f>
        <v>91316.661903752189</v>
      </c>
      <c r="O23" s="19">
        <f ca="1">(AP23+AR23+AE37+AH37+AE9+AO51)</f>
        <v>6000</v>
      </c>
      <c r="P23" s="20">
        <f t="shared" ca="1" si="37"/>
        <v>97316.661903752189</v>
      </c>
      <c r="Q23" s="64"/>
      <c r="R23" s="5"/>
      <c r="S23" s="65"/>
      <c r="T23" s="11"/>
      <c r="U23" s="12"/>
      <c r="V23" s="13"/>
      <c r="W23" s="11"/>
      <c r="X23" s="46" t="s">
        <v>11</v>
      </c>
      <c r="Y23" s="48" t="s">
        <v>35</v>
      </c>
      <c r="AA23" s="31">
        <f>(8000)</f>
        <v>8000</v>
      </c>
      <c r="AB23" s="31" t="s">
        <v>0</v>
      </c>
      <c r="AC23" s="32">
        <f>($AA$29*$AA$23)</f>
        <v>11102.968000000001</v>
      </c>
      <c r="AD23" s="32">
        <f>($AB$29*$AA$23)</f>
        <v>12604.096</v>
      </c>
      <c r="AE23" s="39">
        <f t="shared" si="42"/>
        <v>46266</v>
      </c>
      <c r="AF23" s="39">
        <f t="shared" si="36"/>
        <v>46295</v>
      </c>
      <c r="AG23" s="40">
        <f t="shared" si="38"/>
        <v>0</v>
      </c>
      <c r="AH23" s="40">
        <f t="shared" si="39"/>
        <v>26</v>
      </c>
      <c r="AI23" s="40">
        <f t="shared" si="40"/>
        <v>-26</v>
      </c>
      <c r="AJ23" s="41">
        <f>(C23)</f>
        <v>63000</v>
      </c>
      <c r="AK23" s="32">
        <f ca="1">(AJ23*AY81)</f>
        <v>38613.329999999994</v>
      </c>
      <c r="AL23" s="42">
        <v>0</v>
      </c>
      <c r="AM23" s="32">
        <f t="shared" si="41"/>
        <v>0</v>
      </c>
      <c r="AN23" s="32">
        <f ca="1">(AM23*AY81)</f>
        <v>0</v>
      </c>
      <c r="AO23" s="32">
        <f>(C23/30/7.5*1.5*H23)</f>
        <v>0</v>
      </c>
      <c r="AP23" s="32">
        <f ca="1">(AO23*AY81)</f>
        <v>0</v>
      </c>
      <c r="AQ23" s="32">
        <f>(C23/30/7.5*1.25*I23)</f>
        <v>0</v>
      </c>
      <c r="AR23" s="32">
        <f ca="1">(AQ23*AY81)</f>
        <v>0</v>
      </c>
      <c r="AS23" s="32">
        <f>(C23/30/7.5*2*J23)</f>
        <v>0</v>
      </c>
      <c r="BD23" s="31">
        <v>21</v>
      </c>
      <c r="BE23" s="35">
        <v>10.5</v>
      </c>
      <c r="BF23" s="36">
        <v>0.23</v>
      </c>
      <c r="BG23" s="66"/>
    </row>
    <row r="24" spans="1:59" ht="39.950000000000003" customHeight="1" x14ac:dyDescent="0.25">
      <c r="A24" s="15">
        <f ca="1">(AT82)</f>
        <v>0.27</v>
      </c>
      <c r="B24" s="16" t="s">
        <v>79</v>
      </c>
      <c r="C24" s="59">
        <v>63000</v>
      </c>
      <c r="D24" s="18">
        <f ca="1">(C24*AY82)</f>
        <v>38613.329999999994</v>
      </c>
      <c r="E24" s="17">
        <f>(C24/30)</f>
        <v>2100</v>
      </c>
      <c r="F24" s="18">
        <f ca="1">(E24*AY82)</f>
        <v>1287.1109999999999</v>
      </c>
      <c r="G24" s="60">
        <v>7498.99</v>
      </c>
      <c r="H24" s="61">
        <v>0</v>
      </c>
      <c r="I24" s="61">
        <v>0</v>
      </c>
      <c r="J24" s="61">
        <v>0</v>
      </c>
      <c r="K24" s="62">
        <v>20</v>
      </c>
      <c r="L24" s="63">
        <v>0</v>
      </c>
      <c r="M24" s="63" t="s">
        <v>1</v>
      </c>
      <c r="N24" s="19">
        <f ca="1">(AE82+AL52+AN52+AH82+AL82+AM82+AV82-O24)</f>
        <v>52703.331903752209</v>
      </c>
      <c r="O24" s="19">
        <f ca="1">(AP24+AR24+AE38+AH38+AE10+AO52)</f>
        <v>6000</v>
      </c>
      <c r="P24" s="20">
        <f t="shared" ca="1" si="37"/>
        <v>58703.331903752209</v>
      </c>
      <c r="Q24" s="64"/>
      <c r="R24" s="5"/>
      <c r="S24" s="65"/>
      <c r="T24" s="11"/>
      <c r="U24" s="12"/>
      <c r="V24" s="13"/>
      <c r="W24" s="11"/>
      <c r="X24" s="46" t="s">
        <v>31</v>
      </c>
      <c r="Y24" s="32" t="s">
        <v>40</v>
      </c>
      <c r="AA24" s="31">
        <f>(500)</f>
        <v>500</v>
      </c>
      <c r="AB24" s="31" t="s">
        <v>0</v>
      </c>
      <c r="AC24" s="32">
        <f>($AA$29*$AA$24)</f>
        <v>693.93550000000005</v>
      </c>
      <c r="AD24" s="32">
        <f>($AB$29*$AA$24)</f>
        <v>787.75599999999997</v>
      </c>
      <c r="AE24" s="39">
        <f t="shared" si="42"/>
        <v>46296</v>
      </c>
      <c r="AF24" s="39">
        <f t="shared" si="36"/>
        <v>46326</v>
      </c>
      <c r="AG24" s="40">
        <f t="shared" si="38"/>
        <v>0</v>
      </c>
      <c r="AH24" s="40">
        <f t="shared" si="39"/>
        <v>27</v>
      </c>
      <c r="AI24" s="40">
        <f t="shared" si="40"/>
        <v>-27</v>
      </c>
      <c r="AJ24" s="41">
        <f>(C24)</f>
        <v>63000</v>
      </c>
      <c r="AK24" s="32">
        <f ca="1">(AJ24*AY82)</f>
        <v>38613.329999999994</v>
      </c>
      <c r="AL24" s="42">
        <v>0</v>
      </c>
      <c r="AM24" s="32">
        <f t="shared" si="41"/>
        <v>0</v>
      </c>
      <c r="AN24" s="32">
        <f ca="1">(AM24*AY82)</f>
        <v>0</v>
      </c>
      <c r="AO24" s="32">
        <f>(C24/30/7.5*1.5*H24)</f>
        <v>0</v>
      </c>
      <c r="AP24" s="32">
        <f ca="1">(AO24*AY82)</f>
        <v>0</v>
      </c>
      <c r="AQ24" s="32">
        <f>(C24/30/7.5*1.25*I24)</f>
        <v>0</v>
      </c>
      <c r="AR24" s="32">
        <f ca="1">(AQ24*AY82)</f>
        <v>0</v>
      </c>
      <c r="AS24" s="32">
        <f>(C24/30/7.5*2*J24)</f>
        <v>0</v>
      </c>
      <c r="BD24" s="31">
        <v>22</v>
      </c>
      <c r="BE24" s="35">
        <v>11</v>
      </c>
      <c r="BF24" s="36">
        <v>0.24</v>
      </c>
      <c r="BG24" s="66"/>
    </row>
    <row r="25" spans="1:59" ht="39.950000000000003" customHeight="1" x14ac:dyDescent="0.25">
      <c r="A25" s="15">
        <f ca="1">(AT83)</f>
        <v>0.27</v>
      </c>
      <c r="B25" s="16" t="s">
        <v>80</v>
      </c>
      <c r="C25" s="59">
        <v>63000</v>
      </c>
      <c r="D25" s="18">
        <f ca="1">(C25*AY83)</f>
        <v>38613.329999999994</v>
      </c>
      <c r="E25" s="17">
        <f>(C25/30)</f>
        <v>2100</v>
      </c>
      <c r="F25" s="18">
        <f ca="1">(E25*AY83)</f>
        <v>1287.1109999999999</v>
      </c>
      <c r="G25" s="60">
        <v>7498.99</v>
      </c>
      <c r="H25" s="61">
        <v>0</v>
      </c>
      <c r="I25" s="61">
        <v>0</v>
      </c>
      <c r="J25" s="61">
        <v>0</v>
      </c>
      <c r="K25" s="62">
        <v>20</v>
      </c>
      <c r="L25" s="63">
        <v>0</v>
      </c>
      <c r="M25" s="63" t="s">
        <v>1</v>
      </c>
      <c r="N25" s="19">
        <f ca="1">(AE83+AL53+AN53+AH83+AL83+AM83+AV83-O25)</f>
        <v>52703.331903752209</v>
      </c>
      <c r="O25" s="19">
        <f ca="1">(AP25+AR25+AE39+AH39+AE11+AO53)</f>
        <v>6000</v>
      </c>
      <c r="P25" s="20">
        <f t="shared" ca="1" si="37"/>
        <v>58703.331903752209</v>
      </c>
      <c r="Q25" s="64"/>
      <c r="R25" s="5"/>
      <c r="S25" s="65"/>
      <c r="T25" s="11"/>
      <c r="U25" s="12"/>
      <c r="V25" s="13"/>
      <c r="W25" s="11"/>
      <c r="X25" s="46" t="s">
        <v>15</v>
      </c>
      <c r="Y25" s="48" t="s">
        <v>36</v>
      </c>
      <c r="AA25" s="31">
        <f>(1000)</f>
        <v>1000</v>
      </c>
      <c r="AB25" s="31" t="s">
        <v>0</v>
      </c>
      <c r="AC25" s="32">
        <f>($AA$30*$AA$25)</f>
        <v>22722.792999999998</v>
      </c>
      <c r="AD25" s="32">
        <f>($AB$30*$AA$25)</f>
        <v>25794.915000000001</v>
      </c>
      <c r="AE25" s="39">
        <f t="shared" si="42"/>
        <v>46327</v>
      </c>
      <c r="AF25" s="39">
        <f t="shared" si="36"/>
        <v>46356</v>
      </c>
      <c r="AG25" s="40">
        <f t="shared" si="38"/>
        <v>0</v>
      </c>
      <c r="AH25" s="40">
        <f t="shared" si="39"/>
        <v>25</v>
      </c>
      <c r="AI25" s="40">
        <f t="shared" si="40"/>
        <v>-25</v>
      </c>
      <c r="AJ25" s="41">
        <f>(C25)</f>
        <v>63000</v>
      </c>
      <c r="AK25" s="32">
        <f ca="1">(AJ25*AY83)</f>
        <v>38613.329999999994</v>
      </c>
      <c r="AL25" s="42">
        <v>0</v>
      </c>
      <c r="AM25" s="32">
        <f t="shared" si="41"/>
        <v>0</v>
      </c>
      <c r="AN25" s="32">
        <f ca="1">(AM25*AY83)</f>
        <v>0</v>
      </c>
      <c r="AO25" s="32">
        <f>(C25/30/7.5*1.5*H25)</f>
        <v>0</v>
      </c>
      <c r="AP25" s="32">
        <f ca="1">(AO25*AY83)</f>
        <v>0</v>
      </c>
      <c r="AQ25" s="32">
        <f>(C25/30/7.5*1.25*I25)</f>
        <v>0</v>
      </c>
      <c r="AR25" s="32">
        <f ca="1">(AQ25*AY83)</f>
        <v>0</v>
      </c>
      <c r="AS25" s="32">
        <f>(C25/30/7.5*2*J25)</f>
        <v>0</v>
      </c>
      <c r="BD25" s="31">
        <v>23</v>
      </c>
      <c r="BE25" s="35">
        <v>11.5</v>
      </c>
      <c r="BF25" s="36">
        <v>0.25</v>
      </c>
      <c r="BG25" s="66"/>
    </row>
    <row r="26" spans="1:59" ht="39.950000000000003" customHeight="1" x14ac:dyDescent="0.25">
      <c r="A26" s="15">
        <f ca="1">(AT84)</f>
        <v>0.27</v>
      </c>
      <c r="B26" s="16" t="s">
        <v>81</v>
      </c>
      <c r="C26" s="59">
        <v>63000</v>
      </c>
      <c r="D26" s="18">
        <f ca="1">(C26*AY84)</f>
        <v>38613.329999999994</v>
      </c>
      <c r="E26" s="17">
        <f>(C26/30)</f>
        <v>2100</v>
      </c>
      <c r="F26" s="18">
        <f ca="1">(E26*AY84)</f>
        <v>1287.1109999999999</v>
      </c>
      <c r="G26" s="60">
        <v>7498.99</v>
      </c>
      <c r="H26" s="61">
        <v>0</v>
      </c>
      <c r="I26" s="61">
        <v>0</v>
      </c>
      <c r="J26" s="61">
        <v>0</v>
      </c>
      <c r="K26" s="62">
        <v>20</v>
      </c>
      <c r="L26" s="63">
        <v>0</v>
      </c>
      <c r="M26" s="63" t="s">
        <v>1</v>
      </c>
      <c r="N26" s="19">
        <f ca="1">(AE84+AL54+AN54+AH84+AL84+AM84+AV84-O26)</f>
        <v>91316.661903752189</v>
      </c>
      <c r="O26" s="19">
        <f ca="1">(AP26+AR26+AE40+AH40+AE12+AO54)</f>
        <v>6000</v>
      </c>
      <c r="P26" s="20">
        <f t="shared" ca="1" si="37"/>
        <v>97316.661903752189</v>
      </c>
      <c r="Q26" s="64"/>
      <c r="R26" s="5"/>
      <c r="S26" s="65"/>
      <c r="T26" s="11"/>
      <c r="U26" s="12"/>
      <c r="V26" s="13"/>
      <c r="W26" s="11"/>
      <c r="X26" s="46" t="s">
        <v>13</v>
      </c>
      <c r="Y26" s="47" t="s">
        <v>91</v>
      </c>
      <c r="AA26" s="31">
        <f>($AA$22+$AA$23)</f>
        <v>9500</v>
      </c>
      <c r="AB26" s="31">
        <f>(2.15)</f>
        <v>2.15</v>
      </c>
      <c r="AC26" s="32">
        <f>($AA$29*$AA$26*$AB$26)</f>
        <v>28347.265175</v>
      </c>
      <c r="AD26" s="32">
        <f>($AB$29*$AA$26*$AB$26)</f>
        <v>32179.832599999998</v>
      </c>
      <c r="AE26" s="39">
        <f t="shared" si="42"/>
        <v>46357</v>
      </c>
      <c r="AF26" s="39">
        <f t="shared" si="36"/>
        <v>46387</v>
      </c>
      <c r="AG26" s="40">
        <f t="shared" si="38"/>
        <v>0</v>
      </c>
      <c r="AH26" s="40">
        <f t="shared" si="39"/>
        <v>27</v>
      </c>
      <c r="AI26" s="40">
        <f t="shared" si="40"/>
        <v>-27</v>
      </c>
      <c r="AJ26" s="41">
        <f>(C26)</f>
        <v>63000</v>
      </c>
      <c r="AK26" s="32">
        <f ca="1">(AJ26*AY84)</f>
        <v>38613.329999999994</v>
      </c>
      <c r="AL26" s="42">
        <v>0</v>
      </c>
      <c r="AM26" s="32">
        <f t="shared" si="41"/>
        <v>0</v>
      </c>
      <c r="AN26" s="32">
        <f ca="1">(AM26*AY84)</f>
        <v>0</v>
      </c>
      <c r="AO26" s="32">
        <f>(C26/30/7.5*1.5*H26)</f>
        <v>0</v>
      </c>
      <c r="AP26" s="32">
        <f ca="1">(AO26*AY84)</f>
        <v>0</v>
      </c>
      <c r="AQ26" s="32">
        <f>(C26/30/7.5*1.25*I26)</f>
        <v>0</v>
      </c>
      <c r="AR26" s="32">
        <f ca="1">(AQ26*AY84)</f>
        <v>0</v>
      </c>
      <c r="AS26" s="32">
        <f>(C26/30/7.5*2*J26)</f>
        <v>0</v>
      </c>
      <c r="BD26" s="31">
        <v>24</v>
      </c>
      <c r="BE26" s="35">
        <v>12</v>
      </c>
      <c r="BF26" s="36">
        <v>0.26</v>
      </c>
      <c r="BG26" s="66"/>
    </row>
    <row r="27" spans="1:59" ht="39.950000000000003" customHeight="1" x14ac:dyDescent="0.25">
      <c r="A27" s="21" t="s">
        <v>0</v>
      </c>
      <c r="B27" s="16" t="s">
        <v>61</v>
      </c>
      <c r="C27" s="14">
        <f>(C15+C16+C17+C18+C19+C20+C21+C22+C23+C24+C25+C26)</f>
        <v>692940</v>
      </c>
      <c r="D27" s="14">
        <f t="shared" ref="D27" ca="1" si="43">(D15+D16+D17+D18+D19+D20+D21+D22+D23+D24+D25+D26)</f>
        <v>449522.90614830784</v>
      </c>
      <c r="E27" s="14">
        <f>(E15+E16+E17+E18+E19+E20+E21+E22+E23+E24+E25+E26)</f>
        <v>23098</v>
      </c>
      <c r="F27" s="14">
        <f ca="1">(F15+F16+F17+F18+F19+F20+F21+F22+F23+F24+F25+F26)</f>
        <v>14984.096871610265</v>
      </c>
      <c r="G27" s="14">
        <f>(G15+G16+G17+G18+G19+G20+G21+G22+G23+G24+G25+G26)</f>
        <v>79374.599999999991</v>
      </c>
      <c r="H27" s="22">
        <f>(H15+H16+H17+H18+H19+H20+H21+H22+H23+H24+H25+H26)</f>
        <v>0</v>
      </c>
      <c r="I27" s="22">
        <f>(I15+I16+I17+I18+I19+I20+I21+I22+I23+I24+I25+I26)</f>
        <v>0</v>
      </c>
      <c r="J27" s="22">
        <f>(J15+J16+J17+J18+J19+J20+J21+J22+J23+J24+J25+J26)</f>
        <v>0</v>
      </c>
      <c r="K27" s="23">
        <f>(K15+K16+K17+K18+K19+K20+K21+K22+K23+K24+K25+K26)</f>
        <v>240</v>
      </c>
      <c r="L27" s="9" t="s">
        <v>0</v>
      </c>
      <c r="M27" s="9" t="s">
        <v>0</v>
      </c>
      <c r="N27" s="24">
        <f t="shared" ref="N27" ca="1" si="44">(N15+N16+N17+N18+N19+N20+N21+N22+N23+N24+N25+N26)</f>
        <v>751721.45417944645</v>
      </c>
      <c r="O27" s="24">
        <f t="shared" ref="O27" ca="1" si="45">(O15+O16+O17+O18+O19+O20+O21+O22+O23+O24+O25+O26)</f>
        <v>72000</v>
      </c>
      <c r="P27" s="25">
        <f t="shared" ref="P27" ca="1" si="46">(P15+P16+P17+P18+P19+P20+P21+P22+P23+P24+P25+P26)</f>
        <v>823721.45417944645</v>
      </c>
      <c r="Q27" s="64"/>
      <c r="R27" s="5"/>
      <c r="S27" s="65"/>
      <c r="T27" s="11"/>
      <c r="U27" s="12"/>
      <c r="V27" s="13"/>
      <c r="W27" s="11"/>
      <c r="X27" s="46" t="s">
        <v>14</v>
      </c>
      <c r="Y27" s="47" t="s">
        <v>92</v>
      </c>
      <c r="AA27" s="31" t="s">
        <v>0</v>
      </c>
      <c r="AB27" s="31" t="s">
        <v>0</v>
      </c>
      <c r="AC27" s="32">
        <f>($AC$22+$AC$23+$AC$24+$AC$25+$AC$26)</f>
        <v>64948.768174999997</v>
      </c>
      <c r="AD27" s="32">
        <f>($AD$22+$AD$23+$AD$24+$AD$25+$AD$26)</f>
        <v>73729.867599999998</v>
      </c>
      <c r="AE27" s="37" t="s">
        <v>0</v>
      </c>
      <c r="AF27" s="37" t="s">
        <v>0</v>
      </c>
      <c r="AG27" s="33">
        <f>(AG15+AG16+AG17+AG18+AG19+AG20+AG21+AG22+AG23+AG24+AG25+AG26)</f>
        <v>0</v>
      </c>
      <c r="AH27" s="33">
        <f>(AH15+AH16+AH17+AH18+AH19+AH20+AH21+AH22+AH23+AH24+AH25+AH26)</f>
        <v>313</v>
      </c>
      <c r="AI27" s="33">
        <f>(AI15+AI16+AI17+AI18+AI19+AI20+AI21+AI22+AI23+AI24+AI25+AI26)</f>
        <v>-313</v>
      </c>
      <c r="AJ27" s="32">
        <f t="shared" ref="AJ27:AK27" si="47">(AJ15+AJ16+AJ17+AJ18+AJ19+AJ20+AJ21+AJ22+AJ23+AJ24+AJ25+AJ26)</f>
        <v>692940</v>
      </c>
      <c r="AK27" s="32">
        <f t="shared" ca="1" si="47"/>
        <v>449522.90614830784</v>
      </c>
      <c r="AL27" s="37" t="s">
        <v>0</v>
      </c>
      <c r="AM27" s="32">
        <f t="shared" ref="AM27:AN27" si="48">(AM15+AM16+AM17+AM18+AM19+AM20+AM21+AM22+AM23+AM24+AM25+AM26)</f>
        <v>0</v>
      </c>
      <c r="AN27" s="32">
        <f t="shared" ca="1" si="48"/>
        <v>0</v>
      </c>
      <c r="AO27" s="32">
        <f t="shared" ref="AO27:AP27" si="49">(AO15+AO16+AO17+AO18+AO19+AO20+AO21+AO22+AO23+AO24+AO25+AO26)</f>
        <v>0</v>
      </c>
      <c r="AP27" s="32">
        <f t="shared" ca="1" si="49"/>
        <v>0</v>
      </c>
      <c r="AQ27" s="32">
        <f t="shared" ref="AQ27:AR27" si="50">(AQ15+AQ16+AQ17+AQ18+AQ19+AQ20+AQ21+AQ22+AQ23+AQ24+AQ25+AQ26)</f>
        <v>0</v>
      </c>
      <c r="AR27" s="32">
        <f t="shared" ca="1" si="50"/>
        <v>0</v>
      </c>
      <c r="AS27" s="32">
        <f t="shared" ref="AS27" si="51">(AS15+AS16+AS17+AS18+AS19+AS20+AS21+AS22+AS23+AS24+AS25+AS26)</f>
        <v>0</v>
      </c>
      <c r="BD27" s="31">
        <v>25</v>
      </c>
      <c r="BE27" s="35">
        <v>12.5</v>
      </c>
      <c r="BF27" s="36">
        <v>0.27</v>
      </c>
      <c r="BG27" s="66"/>
    </row>
    <row r="28" spans="1:59" ht="39.950000000000003" customHeight="1" x14ac:dyDescent="0.25">
      <c r="A28" s="15">
        <f ca="1">(AT86)</f>
        <v>0.22365494314826015</v>
      </c>
      <c r="B28" s="26" t="s">
        <v>62</v>
      </c>
      <c r="C28" s="14">
        <f>(C27/12)</f>
        <v>57745</v>
      </c>
      <c r="D28" s="14">
        <f t="shared" ref="D28" ca="1" si="52">(D27/12)</f>
        <v>37460.242179025656</v>
      </c>
      <c r="E28" s="14">
        <f>(E27/12)</f>
        <v>1924.8333333333333</v>
      </c>
      <c r="F28" s="14">
        <f ca="1">(F27/12)</f>
        <v>1248.6747393008554</v>
      </c>
      <c r="G28" s="14">
        <f>(G27/12)</f>
        <v>6614.5499999999993</v>
      </c>
      <c r="H28" s="23" t="s">
        <v>0</v>
      </c>
      <c r="I28" s="23" t="s">
        <v>0</v>
      </c>
      <c r="J28" s="14" t="s">
        <v>0</v>
      </c>
      <c r="K28" s="14" t="s">
        <v>0</v>
      </c>
      <c r="L28" s="14" t="s">
        <v>0</v>
      </c>
      <c r="M28" s="14" t="s">
        <v>0</v>
      </c>
      <c r="N28" s="24">
        <f ca="1">(N27/12)</f>
        <v>62643.454514953868</v>
      </c>
      <c r="O28" s="24">
        <f ca="1">(O27/12)</f>
        <v>6000</v>
      </c>
      <c r="P28" s="25">
        <f ca="1">(P27/12)</f>
        <v>68643.454514953875</v>
      </c>
      <c r="Q28" s="64"/>
      <c r="R28" s="5"/>
      <c r="S28" s="65"/>
      <c r="T28" s="27"/>
      <c r="U28" s="28"/>
      <c r="V28" s="29"/>
      <c r="W28" s="27"/>
      <c r="X28" s="46" t="s">
        <v>32</v>
      </c>
      <c r="Y28" s="48" t="s">
        <v>37</v>
      </c>
      <c r="AE28" s="37" t="s">
        <v>0</v>
      </c>
      <c r="AF28" s="37" t="s">
        <v>0</v>
      </c>
      <c r="AG28" s="37" t="s">
        <v>0</v>
      </c>
      <c r="AH28" s="37" t="s">
        <v>0</v>
      </c>
      <c r="AI28" s="37" t="s">
        <v>0</v>
      </c>
      <c r="AJ28" s="32">
        <f t="shared" ref="AJ28:AK28" si="53">(AJ27/12)</f>
        <v>57745</v>
      </c>
      <c r="AK28" s="32">
        <f t="shared" ca="1" si="53"/>
        <v>37460.242179025656</v>
      </c>
      <c r="AL28" s="37" t="s">
        <v>0</v>
      </c>
      <c r="AM28" s="32">
        <f t="shared" ref="AM28:AN28" si="54">(AM27/12)</f>
        <v>0</v>
      </c>
      <c r="AN28" s="32">
        <f t="shared" ca="1" si="54"/>
        <v>0</v>
      </c>
      <c r="AO28" s="32">
        <f t="shared" ref="AO28:AP28" si="55">(AO27/12)</f>
        <v>0</v>
      </c>
      <c r="AP28" s="32">
        <f t="shared" ca="1" si="55"/>
        <v>0</v>
      </c>
      <c r="AQ28" s="32">
        <f t="shared" ref="AQ28:AR28" si="56">(AQ27/12)</f>
        <v>0</v>
      </c>
      <c r="AR28" s="32">
        <f t="shared" ca="1" si="56"/>
        <v>0</v>
      </c>
      <c r="AS28" s="32">
        <f t="shared" ref="AS28" si="57">(AS27/12)</f>
        <v>0</v>
      </c>
      <c r="BD28" s="31">
        <v>26</v>
      </c>
      <c r="BE28" s="35">
        <v>13</v>
      </c>
      <c r="BF28" s="36">
        <v>0.28000000000000003</v>
      </c>
      <c r="BG28" s="66"/>
    </row>
    <row r="29" spans="1:59" ht="39.950000000000003" hidden="1" customHeight="1" x14ac:dyDescent="0.25">
      <c r="X29" s="46" t="s">
        <v>27</v>
      </c>
      <c r="Y29" s="47" t="s">
        <v>93</v>
      </c>
      <c r="AA29" s="49">
        <v>1.3878710000000001</v>
      </c>
      <c r="AB29" s="49">
        <v>1.575512</v>
      </c>
      <c r="AC29" s="31" t="s">
        <v>0</v>
      </c>
      <c r="AD29" s="44" t="s">
        <v>0</v>
      </c>
      <c r="AE29" s="32">
        <f ca="1">(AS15*AY73)</f>
        <v>0</v>
      </c>
      <c r="AF29" s="50">
        <v>0</v>
      </c>
      <c r="AG29" s="32">
        <f>(C15/7.5*0.15*AF29)</f>
        <v>0</v>
      </c>
      <c r="AH29" s="32">
        <f ca="1">(AG29*AY73)</f>
        <v>0</v>
      </c>
      <c r="AI29" s="32">
        <f>(300*K15)</f>
        <v>6000</v>
      </c>
      <c r="AJ29" s="32">
        <f ca="1">(AK29/AY73/30*AS1)</f>
        <v>3843.840483417493</v>
      </c>
      <c r="AK29" s="32">
        <f>(2748/30*AS1)</f>
        <v>2748</v>
      </c>
      <c r="AL29" s="33">
        <v>10</v>
      </c>
      <c r="AM29" s="32">
        <f>(E15*AL29)</f>
        <v>17496.666666666668</v>
      </c>
      <c r="AN29" s="32">
        <f>(0)</f>
        <v>0</v>
      </c>
      <c r="AO29" s="32">
        <f ca="1">(AN29*AY73)</f>
        <v>0</v>
      </c>
      <c r="AP29" s="33">
        <v>30</v>
      </c>
      <c r="AQ29" s="32">
        <f ca="1">(G15*AY73)</f>
        <v>4096.5129401000004</v>
      </c>
      <c r="AR29" s="51">
        <f>COUNTIF(M15,"Yok")*(0)
+COUNTIF(M15,"1. Derece")*($AA$36)
+COUNTIF(M15,"2. Derece")*($AA$37)
+COUNTIF(M15,"3. Derece")*($AA$38)</f>
        <v>0</v>
      </c>
      <c r="BD29" s="31">
        <v>27</v>
      </c>
      <c r="BE29" s="35">
        <v>13.5</v>
      </c>
      <c r="BF29" s="36">
        <v>0.28999999999999998</v>
      </c>
    </row>
    <row r="30" spans="1:59" ht="39.950000000000003" hidden="1" customHeight="1" x14ac:dyDescent="0.25">
      <c r="X30" s="46" t="s">
        <v>33</v>
      </c>
      <c r="Y30" s="48" t="s">
        <v>38</v>
      </c>
      <c r="AA30" s="49">
        <v>22.722792999999999</v>
      </c>
      <c r="AB30" s="49">
        <v>25.794915</v>
      </c>
      <c r="AC30" s="31" t="s">
        <v>0</v>
      </c>
      <c r="AD30" s="44" t="s">
        <v>0</v>
      </c>
      <c r="AE30" s="32">
        <f ca="1">(AS16*AY74)</f>
        <v>0</v>
      </c>
      <c r="AF30" s="50">
        <v>0</v>
      </c>
      <c r="AG30" s="32">
        <f>(C16/7.5*0.15*AF30)</f>
        <v>0</v>
      </c>
      <c r="AH30" s="32">
        <f ca="1">(AG30*AY74)</f>
        <v>0</v>
      </c>
      <c r="AI30" s="32">
        <f>(300*K16)</f>
        <v>6000</v>
      </c>
      <c r="AJ30" s="32">
        <f ca="1">(AK30/AY74/30*AS2)</f>
        <v>4228.5042872529402</v>
      </c>
      <c r="AK30" s="32">
        <f>(2748/30*15+3298/30*15)</f>
        <v>3023</v>
      </c>
      <c r="AL30" s="33">
        <v>10</v>
      </c>
      <c r="AM30" s="32">
        <f>(E16*AL30)</f>
        <v>17496.666666666668</v>
      </c>
      <c r="AN30" s="32">
        <f>(0)</f>
        <v>0</v>
      </c>
      <c r="AO30" s="32">
        <f ca="1">(AN30*AY74)</f>
        <v>0</v>
      </c>
      <c r="AP30" s="33">
        <v>30</v>
      </c>
      <c r="AQ30" s="32">
        <f ca="1">(G16*AY74)</f>
        <v>4096.5129401000004</v>
      </c>
      <c r="AR30" s="51">
        <f>COUNTIF(M16,"Yok")*(0)
+COUNTIF(M16,"1. Derece")*($AA$36)
+COUNTIF(M16,"2. Derece")*($AA$37)
+COUNTIF(M16,"3. Derece")*($AA$38)</f>
        <v>0</v>
      </c>
      <c r="BD30" s="31">
        <v>28</v>
      </c>
      <c r="BE30" s="35">
        <v>14</v>
      </c>
      <c r="BF30" s="36">
        <v>0.3</v>
      </c>
    </row>
    <row r="31" spans="1:59" ht="39.950000000000003" hidden="1" customHeight="1" x14ac:dyDescent="0.25">
      <c r="X31" s="46" t="s">
        <v>12</v>
      </c>
      <c r="Y31" s="47" t="s">
        <v>94</v>
      </c>
      <c r="AA31" s="49">
        <v>0.44144099999999997</v>
      </c>
      <c r="AB31" s="49">
        <v>0.49964900000000001</v>
      </c>
      <c r="AC31" s="31" t="s">
        <v>0</v>
      </c>
      <c r="AD31" s="44" t="s">
        <v>0</v>
      </c>
      <c r="AE31" s="32">
        <f ca="1">(AS17*AY75)</f>
        <v>0</v>
      </c>
      <c r="AF31" s="50">
        <v>0</v>
      </c>
      <c r="AG31" s="32">
        <f>(C17/7.5*0.15*AF31)</f>
        <v>0</v>
      </c>
      <c r="AH31" s="32">
        <f ca="1">(AG31*AY75)</f>
        <v>0</v>
      </c>
      <c r="AI31" s="32">
        <f>(300*K17)</f>
        <v>6000</v>
      </c>
      <c r="AJ31" s="32">
        <f ca="1">(AK31/AY75/30*AS3)</f>
        <v>4652.3555667457395</v>
      </c>
      <c r="AK31" s="32">
        <f>3298/30*AS3</f>
        <v>3298</v>
      </c>
      <c r="AL31" s="33">
        <v>10</v>
      </c>
      <c r="AM31" s="32">
        <f>(E17*AL31)</f>
        <v>17496.666666666668</v>
      </c>
      <c r="AN31" s="32">
        <f>(AM29+AM30+AM31)</f>
        <v>52490</v>
      </c>
      <c r="AO31" s="32">
        <f ca="1">(AN31*AY75)</f>
        <v>37209.542030143995</v>
      </c>
      <c r="AP31" s="33">
        <v>30</v>
      </c>
      <c r="AQ31" s="32">
        <f ca="1">(G17*AY75)</f>
        <v>4062.0074086940067</v>
      </c>
      <c r="AR31" s="51">
        <f>COUNTIF(M17,"Yok")*(0)
+COUNTIF(M17,"1. Derece")*($AA$36)
+COUNTIF(M17,"2. Derece")*($AA$37)
+COUNTIF(M17,"3. Derece")*($AA$38)</f>
        <v>0</v>
      </c>
      <c r="BD31" s="31">
        <v>29</v>
      </c>
      <c r="BE31" s="35">
        <v>14.5</v>
      </c>
      <c r="BF31" s="36">
        <v>0.31</v>
      </c>
    </row>
    <row r="32" spans="1:59" ht="39.950000000000003" hidden="1" customHeight="1" x14ac:dyDescent="0.25">
      <c r="X32" s="46" t="s">
        <v>26</v>
      </c>
      <c r="Y32" s="47" t="s">
        <v>95</v>
      </c>
      <c r="AE32" s="32">
        <f ca="1">(AS18*AY76)</f>
        <v>0</v>
      </c>
      <c r="AF32" s="50">
        <v>0</v>
      </c>
      <c r="AG32" s="32">
        <f>(C18/7.5*0.15*AF32)</f>
        <v>0</v>
      </c>
      <c r="AH32" s="32">
        <f ca="1">(AG32*AY76)</f>
        <v>0</v>
      </c>
      <c r="AI32" s="32">
        <f>(300*K18)</f>
        <v>6000</v>
      </c>
      <c r="AJ32" s="32">
        <f ca="1">(AK32/AY76/30*AS4)</f>
        <v>4904.7456165137346</v>
      </c>
      <c r="AK32" s="32">
        <f>3298/30*AS4</f>
        <v>3298</v>
      </c>
      <c r="AL32" s="33">
        <v>10</v>
      </c>
      <c r="AM32" s="32">
        <f>(E18*AL32)</f>
        <v>17496.666666666668</v>
      </c>
      <c r="AN32" s="32">
        <f>(0)</f>
        <v>0</v>
      </c>
      <c r="AO32" s="32">
        <f ca="1">(AN32*AY76)</f>
        <v>0</v>
      </c>
      <c r="AP32" s="33">
        <v>30</v>
      </c>
      <c r="AQ32" s="32">
        <f ca="1">(G18*AY76)</f>
        <v>3852.9832650999997</v>
      </c>
      <c r="AR32" s="51">
        <f>COUNTIF(M18,"Yok")*(0)
+COUNTIF(M18,"1. Derece")*($AA$36)
+COUNTIF(M18,"2. Derece")*($AA$37)
+COUNTIF(M18,"3. Derece")*($AA$38)</f>
        <v>0</v>
      </c>
      <c r="BD32" s="31">
        <v>30</v>
      </c>
      <c r="BE32" s="35">
        <v>15</v>
      </c>
      <c r="BF32" s="36">
        <v>0.32</v>
      </c>
    </row>
    <row r="33" spans="24:58" ht="39.950000000000003" hidden="1" customHeight="1" x14ac:dyDescent="0.25">
      <c r="X33" s="52" t="s">
        <v>28</v>
      </c>
      <c r="Y33" s="48" t="s">
        <v>42</v>
      </c>
      <c r="AA33" s="37">
        <f>($AA$34*2)</f>
        <v>19000</v>
      </c>
      <c r="AB33" s="31" t="s">
        <v>0</v>
      </c>
      <c r="AC33" s="32">
        <f>($AA$29*$AA$33)</f>
        <v>26369.549000000003</v>
      </c>
      <c r="AD33" s="32">
        <f>($AB$29*$AA$33)</f>
        <v>29934.727999999999</v>
      </c>
      <c r="AE33" s="32">
        <f ca="1">(AS19*AY77)</f>
        <v>0</v>
      </c>
      <c r="AF33" s="50">
        <v>0</v>
      </c>
      <c r="AG33" s="32">
        <f>(C19/7.5*0.15*AF33)</f>
        <v>0</v>
      </c>
      <c r="AH33" s="32">
        <f ca="1">(AG33*AY77)</f>
        <v>0</v>
      </c>
      <c r="AI33" s="32">
        <f>(300*K19)</f>
        <v>6000</v>
      </c>
      <c r="AJ33" s="32">
        <f ca="1">(AK33/AY77/30*AS5)</f>
        <v>4904.7456165137346</v>
      </c>
      <c r="AK33" s="32">
        <f>3298/30*AS5</f>
        <v>3298</v>
      </c>
      <c r="AL33" s="33">
        <v>10</v>
      </c>
      <c r="AM33" s="32">
        <f>(E19*AL33)</f>
        <v>17496.666666666668</v>
      </c>
      <c r="AN33" s="32">
        <f>(0)</f>
        <v>0</v>
      </c>
      <c r="AO33" s="32">
        <f ca="1">(AN33*AY77)</f>
        <v>0</v>
      </c>
      <c r="AP33" s="33">
        <v>30</v>
      </c>
      <c r="AQ33" s="32">
        <f ca="1">(G19*AY77)</f>
        <v>3852.9832650999997</v>
      </c>
      <c r="AR33" s="51">
        <f>COUNTIF(M19,"Yok")*(0)
+COUNTIF(M19,"1. Derece")*($AA$36)
+COUNTIF(M19,"2. Derece")*($AA$37)
+COUNTIF(M19,"3. Derece")*($AA$38)</f>
        <v>0</v>
      </c>
      <c r="BD33" s="31">
        <v>31</v>
      </c>
      <c r="BE33" s="35">
        <v>15.5</v>
      </c>
      <c r="BF33" s="36">
        <v>0.33</v>
      </c>
    </row>
    <row r="34" spans="24:58" ht="39.950000000000003" hidden="1" customHeight="1" x14ac:dyDescent="0.25">
      <c r="X34" s="46" t="s">
        <v>34</v>
      </c>
      <c r="Y34" s="47" t="s">
        <v>41</v>
      </c>
      <c r="AA34" s="37">
        <f>(9500)</f>
        <v>9500</v>
      </c>
      <c r="AB34" s="31" t="s">
        <v>0</v>
      </c>
      <c r="AC34" s="32">
        <f>($AA$29*$AA$34)</f>
        <v>13184.774500000001</v>
      </c>
      <c r="AD34" s="32">
        <f>($AB$29*$AA$34)</f>
        <v>14967.364</v>
      </c>
      <c r="AE34" s="32">
        <f ca="1">(AS20*AY78)</f>
        <v>0</v>
      </c>
      <c r="AF34" s="50">
        <v>0</v>
      </c>
      <c r="AG34" s="32">
        <f>(C20/7.5*0.15*AF34)</f>
        <v>0</v>
      </c>
      <c r="AH34" s="32">
        <f ca="1">(AG34*AY78)</f>
        <v>0</v>
      </c>
      <c r="AI34" s="32">
        <f>(300*K20)</f>
        <v>6000</v>
      </c>
      <c r="AJ34" s="32">
        <f ca="1">(AK34/AY78/30*AS6)</f>
        <v>4947.1134964115145</v>
      </c>
      <c r="AK34" s="32">
        <f>3298/30*AS6</f>
        <v>3298</v>
      </c>
      <c r="AL34" s="33">
        <v>10</v>
      </c>
      <c r="AM34" s="32">
        <f>(E20*AL34)</f>
        <v>17496.666666666668</v>
      </c>
      <c r="AN34" s="32">
        <f t="shared" ref="AN34:AN40" si="58">(AM32+AM33+AM34)</f>
        <v>52490</v>
      </c>
      <c r="AO34" s="32">
        <f ca="1">(AN34*AY78)</f>
        <v>34992.53051816381</v>
      </c>
      <c r="AP34" s="33">
        <v>30</v>
      </c>
      <c r="AQ34" s="32">
        <f ca="1">(G20*AY78)</f>
        <v>3819.9856934165678</v>
      </c>
      <c r="AR34" s="51">
        <f>COUNTIF(M20,"Yok")*(0)
+COUNTIF(M20,"1. Derece")*($AA$36)
+COUNTIF(M20,"2. Derece")*($AA$37)
+COUNTIF(M20,"3. Derece")*($AA$38)</f>
        <v>0</v>
      </c>
      <c r="BD34" s="31">
        <v>32</v>
      </c>
      <c r="BE34" s="35">
        <v>16</v>
      </c>
      <c r="BF34" s="36">
        <v>0.34</v>
      </c>
    </row>
    <row r="35" spans="24:58" ht="39.950000000000003" hidden="1" customHeight="1" x14ac:dyDescent="0.25">
      <c r="AE35" s="32">
        <f ca="1">(AS21*AY79)</f>
        <v>0</v>
      </c>
      <c r="AF35" s="50">
        <v>0</v>
      </c>
      <c r="AG35" s="32">
        <f>(C21/7.5*0.15*AF35)</f>
        <v>0</v>
      </c>
      <c r="AH35" s="32">
        <f ca="1">(AG35*AY79)</f>
        <v>0</v>
      </c>
      <c r="AI35" s="32">
        <f>(300*K21)</f>
        <v>6000</v>
      </c>
      <c r="AJ35" s="32">
        <f ca="1">(AK35/AY79/30*AS7)</f>
        <v>5578.3067660831121</v>
      </c>
      <c r="AK35" s="32">
        <f>(3298/30*19+3628/30*11)</f>
        <v>3419</v>
      </c>
      <c r="AL35" s="33">
        <v>10</v>
      </c>
      <c r="AM35" s="32">
        <f>(E21*AL35)</f>
        <v>21000</v>
      </c>
      <c r="AN35" s="32">
        <f>(0)</f>
        <v>0</v>
      </c>
      <c r="AO35" s="32">
        <f ca="1">(AN35*AY79)</f>
        <v>0</v>
      </c>
      <c r="AP35" s="33">
        <v>30</v>
      </c>
      <c r="AQ35" s="32">
        <f ca="1">(G21*AY79)</f>
        <v>4596.2059608999998</v>
      </c>
      <c r="AR35" s="51">
        <f>COUNTIF(M21,"Yok")*(0)
+COUNTIF(M21,"1. Derece")*($AA$36)
+COUNTIF(M21,"2. Derece")*($AA$37)
+COUNTIF(M21,"3. Derece")*($AA$38)</f>
        <v>0</v>
      </c>
      <c r="BD35" s="31">
        <v>33</v>
      </c>
      <c r="BE35" s="35">
        <v>16.5</v>
      </c>
      <c r="BF35" s="36">
        <v>0.35</v>
      </c>
    </row>
    <row r="36" spans="24:58" ht="39.950000000000003" hidden="1" customHeight="1" x14ac:dyDescent="0.25">
      <c r="AA36" s="32">
        <v>12000</v>
      </c>
      <c r="AB36" s="31" t="s">
        <v>0</v>
      </c>
      <c r="AC36" s="31" t="s">
        <v>0</v>
      </c>
      <c r="AD36" s="31" t="s">
        <v>0</v>
      </c>
      <c r="AE36" s="32">
        <f ca="1">(AS22*AY80)</f>
        <v>0</v>
      </c>
      <c r="AF36" s="50">
        <v>0</v>
      </c>
      <c r="AG36" s="32">
        <f>(C22/7.5*0.15*AF36)</f>
        <v>0</v>
      </c>
      <c r="AH36" s="32">
        <f ca="1">(AG36*AY80)</f>
        <v>0</v>
      </c>
      <c r="AI36" s="32">
        <f>(300*K22)</f>
        <v>6000</v>
      </c>
      <c r="AJ36" s="32">
        <f ca="1">(AK36/AY80/30*AS8)</f>
        <v>5919.3029971774004</v>
      </c>
      <c r="AK36" s="32">
        <f>3628/30*AS8</f>
        <v>3628</v>
      </c>
      <c r="AL36" s="33">
        <v>10</v>
      </c>
      <c r="AM36" s="32">
        <f>(E22*AL36)</f>
        <v>21000</v>
      </c>
      <c r="AN36" s="32">
        <f>(0)</f>
        <v>0</v>
      </c>
      <c r="AO36" s="32">
        <f ca="1">(AN36*AY80)</f>
        <v>0</v>
      </c>
      <c r="AP36" s="33">
        <v>30</v>
      </c>
      <c r="AQ36" s="32">
        <f ca="1">(G22*AY80)</f>
        <v>4596.2059608999998</v>
      </c>
      <c r="AR36" s="51">
        <f>COUNTIF(M22,"Yok")*(0)
+COUNTIF(M22,"1. Derece")*($AA$36)
+COUNTIF(M22,"2. Derece")*($AA$37)
+COUNTIF(M22,"3. Derece")*($AA$38)</f>
        <v>0</v>
      </c>
      <c r="BD36" s="31">
        <v>34</v>
      </c>
      <c r="BE36" s="35">
        <v>17</v>
      </c>
      <c r="BF36" s="36">
        <v>0.36</v>
      </c>
    </row>
    <row r="37" spans="24:58" ht="39.950000000000003" hidden="1" customHeight="1" x14ac:dyDescent="0.25">
      <c r="AA37" s="32">
        <v>7000</v>
      </c>
      <c r="AB37" s="31" t="s">
        <v>0</v>
      </c>
      <c r="AC37" s="31" t="s">
        <v>0</v>
      </c>
      <c r="AD37" s="31" t="s">
        <v>0</v>
      </c>
      <c r="AE37" s="32">
        <f ca="1">(AS23*AY81)</f>
        <v>0</v>
      </c>
      <c r="AF37" s="50">
        <v>0</v>
      </c>
      <c r="AG37" s="32">
        <f>(C23/7.5*0.15*AF37)</f>
        <v>0</v>
      </c>
      <c r="AH37" s="32">
        <f ca="1">(AG37*AY81)</f>
        <v>0</v>
      </c>
      <c r="AI37" s="32">
        <f>(300*K23)</f>
        <v>6000</v>
      </c>
      <c r="AJ37" s="32">
        <f ca="1">(AK37/AY81/30*AS9)</f>
        <v>5919.3029971774004</v>
      </c>
      <c r="AK37" s="32">
        <f>3628/30*AS9</f>
        <v>3628</v>
      </c>
      <c r="AL37" s="33">
        <v>10</v>
      </c>
      <c r="AM37" s="32">
        <f>(E23*AL37)</f>
        <v>21000</v>
      </c>
      <c r="AN37" s="32">
        <f t="shared" si="58"/>
        <v>63000</v>
      </c>
      <c r="AO37" s="32">
        <f ca="1">(AN37*AY81)</f>
        <v>38613.329999999994</v>
      </c>
      <c r="AP37" s="33">
        <v>30</v>
      </c>
      <c r="AQ37" s="32">
        <f ca="1">(G23*AY81)</f>
        <v>4596.2059608999998</v>
      </c>
      <c r="AR37" s="51">
        <f>COUNTIF(M23,"Yok")*(0)
+COUNTIF(M23,"1. Derece")*($AA$36)
+COUNTIF(M23,"2. Derece")*($AA$37)
+COUNTIF(M23,"3. Derece")*($AA$38)</f>
        <v>0</v>
      </c>
      <c r="BD37" s="31">
        <v>35</v>
      </c>
      <c r="BE37" s="35">
        <v>17.5</v>
      </c>
      <c r="BF37" s="36">
        <v>0.37</v>
      </c>
    </row>
    <row r="38" spans="24:58" ht="39.950000000000003" hidden="1" customHeight="1" x14ac:dyDescent="0.25">
      <c r="AA38" s="32">
        <v>3000</v>
      </c>
      <c r="AB38" s="31" t="s">
        <v>0</v>
      </c>
      <c r="AC38" s="31" t="s">
        <v>0</v>
      </c>
      <c r="AD38" s="31" t="s">
        <v>0</v>
      </c>
      <c r="AE38" s="32">
        <f ca="1">(AS24*AY82)</f>
        <v>0</v>
      </c>
      <c r="AF38" s="50">
        <v>0</v>
      </c>
      <c r="AG38" s="32">
        <f>(C24/7.5*0.15*AF38)</f>
        <v>0</v>
      </c>
      <c r="AH38" s="32">
        <f ca="1">(AG38*AY82)</f>
        <v>0</v>
      </c>
      <c r="AI38" s="32">
        <f>(300*K24)</f>
        <v>6000</v>
      </c>
      <c r="AJ38" s="32">
        <f ca="1">(AK38/AY82/30*AS10)</f>
        <v>5919.3029971774004</v>
      </c>
      <c r="AK38" s="32">
        <f>3628/30*AS10</f>
        <v>3628</v>
      </c>
      <c r="AL38" s="33">
        <v>10</v>
      </c>
      <c r="AM38" s="32">
        <f>(E24*AL38)</f>
        <v>21000</v>
      </c>
      <c r="AN38" s="32">
        <f>(0)</f>
        <v>0</v>
      </c>
      <c r="AO38" s="32">
        <f ca="1">(AN38*AY82)</f>
        <v>0</v>
      </c>
      <c r="AP38" s="33">
        <v>30</v>
      </c>
      <c r="AQ38" s="32">
        <f ca="1">(G24*AY82)</f>
        <v>4596.2059608999998</v>
      </c>
      <c r="AR38" s="51">
        <f>COUNTIF(M24,"Yok")*(0)
+COUNTIF(M24,"1. Derece")*($AA$36)
+COUNTIF(M24,"2. Derece")*($AA$37)
+COUNTIF(M24,"3. Derece")*($AA$38)</f>
        <v>0</v>
      </c>
      <c r="BD38" s="31">
        <v>36</v>
      </c>
      <c r="BE38" s="35">
        <v>18</v>
      </c>
      <c r="BF38" s="36">
        <v>0.38</v>
      </c>
    </row>
    <row r="39" spans="24:58" ht="39.950000000000003" hidden="1" customHeight="1" x14ac:dyDescent="0.25">
      <c r="AA39" s="31" t="s">
        <v>1</v>
      </c>
      <c r="AB39" s="31" t="s">
        <v>59</v>
      </c>
      <c r="AE39" s="32">
        <f ca="1">(AS25*AY83)</f>
        <v>0</v>
      </c>
      <c r="AF39" s="50">
        <v>0</v>
      </c>
      <c r="AG39" s="32">
        <f>(C25/7.5*0.15*AF39)</f>
        <v>0</v>
      </c>
      <c r="AH39" s="32">
        <f ca="1">(AG39*AY83)</f>
        <v>0</v>
      </c>
      <c r="AI39" s="32">
        <f>(300*K25)</f>
        <v>6000</v>
      </c>
      <c r="AJ39" s="32">
        <f ca="1">(AK39/AY83/30*AS11)</f>
        <v>5919.3029971774004</v>
      </c>
      <c r="AK39" s="32">
        <f>3628/30*AS11</f>
        <v>3628</v>
      </c>
      <c r="AL39" s="33">
        <v>10</v>
      </c>
      <c r="AM39" s="32">
        <f>(E25*AL39)</f>
        <v>21000</v>
      </c>
      <c r="AN39" s="32">
        <f>(0)</f>
        <v>0</v>
      </c>
      <c r="AO39" s="32">
        <f ca="1">(AN39*AY83)</f>
        <v>0</v>
      </c>
      <c r="AP39" s="33">
        <v>30</v>
      </c>
      <c r="AQ39" s="32">
        <f ca="1">(G25*AY83)</f>
        <v>4596.2059608999998</v>
      </c>
      <c r="AR39" s="51">
        <f>COUNTIF(M25,"Yok")*(0)
+COUNTIF(M25,"1. Derece")*($AA$36)
+COUNTIF(M25,"2. Derece")*($AA$37)
+COUNTIF(M25,"3. Derece")*($AA$38)</f>
        <v>0</v>
      </c>
      <c r="BD39" s="31">
        <v>37</v>
      </c>
      <c r="BE39" s="35">
        <v>18.5</v>
      </c>
      <c r="BF39" s="36">
        <v>0.39</v>
      </c>
    </row>
    <row r="40" spans="24:58" ht="39.950000000000003" hidden="1" customHeight="1" x14ac:dyDescent="0.25">
      <c r="AA40" s="44" t="s">
        <v>39</v>
      </c>
      <c r="AB40" s="51">
        <v>1900</v>
      </c>
      <c r="AE40" s="32">
        <f ca="1">(AS26*AY84)</f>
        <v>0</v>
      </c>
      <c r="AF40" s="50">
        <v>0</v>
      </c>
      <c r="AG40" s="32">
        <f>(C26/7.5*0.15*AF40)</f>
        <v>0</v>
      </c>
      <c r="AH40" s="32">
        <f ca="1">(AG40*AY84)</f>
        <v>0</v>
      </c>
      <c r="AI40" s="32">
        <f>(300*K26)</f>
        <v>6000</v>
      </c>
      <c r="AJ40" s="32">
        <f ca="1">(AK40/AY84/30*AS12)</f>
        <v>5919.3029971774004</v>
      </c>
      <c r="AK40" s="32">
        <f>3628/30*AS12</f>
        <v>3628</v>
      </c>
      <c r="AL40" s="33">
        <v>10</v>
      </c>
      <c r="AM40" s="32">
        <f>(E26*AL40)</f>
        <v>21000</v>
      </c>
      <c r="AN40" s="32">
        <f t="shared" si="58"/>
        <v>63000</v>
      </c>
      <c r="AO40" s="32">
        <f ca="1">(AN40*AY84)</f>
        <v>38613.329999999994</v>
      </c>
      <c r="AP40" s="33">
        <v>30</v>
      </c>
      <c r="AQ40" s="32">
        <f ca="1">(G26*AY84)</f>
        <v>4596.2059608999998</v>
      </c>
      <c r="AR40" s="51">
        <f>COUNTIF(M26,"Yok")*(0)
+COUNTIF(M26,"1. Derece")*($AA$36)
+COUNTIF(M26,"2. Derece")*($AA$37)
+COUNTIF(M26,"3. Derece")*($AA$38)</f>
        <v>0</v>
      </c>
      <c r="BD40" s="31">
        <v>38</v>
      </c>
      <c r="BE40" s="35">
        <v>19</v>
      </c>
      <c r="BF40" s="36">
        <v>0.4</v>
      </c>
    </row>
    <row r="41" spans="24:58" ht="39.950000000000003" hidden="1" customHeight="1" x14ac:dyDescent="0.25">
      <c r="AA41" s="44" t="s">
        <v>45</v>
      </c>
      <c r="AB41" s="51">
        <v>4360</v>
      </c>
      <c r="AE41" s="32">
        <f ca="1">(AE29+AE30+AE31+AE32+AE33+AE34+AE35+AE36+AE37+AE38+AE39+AE40)</f>
        <v>0</v>
      </c>
      <c r="AF41" s="53">
        <f>(AF29+AF30+AF31+AF32+AF33+AF34+AF35+AF36+AF37+AF38+AF39+AF40)</f>
        <v>0</v>
      </c>
      <c r="AG41" s="32">
        <f t="shared" ref="AG41:AH41" si="59">(AG29+AG30+AG31+AG32+AG33+AG34+AG35+AG36+AG37+AG38+AG39+AG40)</f>
        <v>0</v>
      </c>
      <c r="AH41" s="32">
        <f t="shared" ca="1" si="59"/>
        <v>0</v>
      </c>
      <c r="AI41" s="32">
        <f>(AI29+AI30+AI31+AI32+AI33+AI34+AI35+AI36+AI37+AI38+AI39+AI40)</f>
        <v>72000</v>
      </c>
      <c r="AJ41" s="32">
        <f t="shared" ref="AJ41:AK41" ca="1" si="60">(AJ29+AJ30+AJ31+AJ32+AJ33+AJ34+AJ35+AJ36+AJ37+AJ38+AJ39+AJ40)</f>
        <v>62656.126818825272</v>
      </c>
      <c r="AK41" s="32">
        <f t="shared" si="60"/>
        <v>40522</v>
      </c>
      <c r="AL41" s="33">
        <f>(AL29+AL30+AL31+AL32+AL33+AL34+AL35+AL36+AL37+AL38+AL39+AL40)</f>
        <v>120</v>
      </c>
      <c r="AM41" s="32">
        <f t="shared" ref="AM41:AN41" si="61">(AM29+AM30+AM31+AM32+AM33+AM34+AM35+AM36+AM37+AM38+AM39+AM40)</f>
        <v>230980</v>
      </c>
      <c r="AN41" s="32">
        <f t="shared" si="61"/>
        <v>230980</v>
      </c>
      <c r="AO41" s="32">
        <f ca="1">(AO29+AO30+AO31+AO32+AO33+AO34+AO35+AO36+AO37+AO38+AO39+AO40)</f>
        <v>149428.73254830777</v>
      </c>
      <c r="AP41" s="33">
        <f>(AP29+AP30+AP31+AP32+AP33+AP34+AP35+AP36+AP37+AP38+AP39+AP40)</f>
        <v>360</v>
      </c>
      <c r="AQ41" s="32">
        <f ca="1">(AQ29+AQ30+AQ31+AQ32+AQ33+AQ34+AQ35+AQ36+AQ37+AQ38+AQ39+AQ40)</f>
        <v>51358.221277910568</v>
      </c>
      <c r="AR41" s="32">
        <f t="shared" ref="AR41" si="62">(AR29+AR30+AR31+AR32+AR33+AR34+AR35+AR36+AR37+AR38+AR39+AR40)</f>
        <v>0</v>
      </c>
      <c r="BD41" s="31">
        <v>39</v>
      </c>
      <c r="BE41" s="35">
        <v>19.5</v>
      </c>
      <c r="BF41" s="36">
        <v>0.41</v>
      </c>
    </row>
    <row r="42" spans="24:58" ht="39.950000000000003" hidden="1" customHeight="1" x14ac:dyDescent="0.25">
      <c r="AA42" s="44" t="s">
        <v>46</v>
      </c>
      <c r="AB42" s="51">
        <v>4360</v>
      </c>
      <c r="AE42" s="32">
        <f ca="1">(AE41/12)</f>
        <v>0</v>
      </c>
      <c r="AF42" s="37" t="s">
        <v>0</v>
      </c>
      <c r="AG42" s="32">
        <f t="shared" ref="AG42:AH42" si="63">(AG41/12)</f>
        <v>0</v>
      </c>
      <c r="AH42" s="32">
        <f t="shared" ca="1" si="63"/>
        <v>0</v>
      </c>
      <c r="AI42" s="32">
        <f>(AI41/12)</f>
        <v>6000</v>
      </c>
      <c r="AJ42" s="32">
        <f t="shared" ref="AJ42:AK42" ca="1" si="64">(AJ41/12)</f>
        <v>5221.3439015687727</v>
      </c>
      <c r="AK42" s="32">
        <f t="shared" si="64"/>
        <v>3376.8333333333335</v>
      </c>
      <c r="AL42" s="37" t="s">
        <v>0</v>
      </c>
      <c r="AM42" s="32">
        <f t="shared" ref="AM42:AN42" si="65">(AM41/12)</f>
        <v>19248.333333333332</v>
      </c>
      <c r="AN42" s="32">
        <f t="shared" si="65"/>
        <v>19248.333333333332</v>
      </c>
      <c r="AO42" s="32">
        <f ca="1">(AO41/12)</f>
        <v>12452.394379025647</v>
      </c>
      <c r="AP42" s="37" t="s">
        <v>0</v>
      </c>
      <c r="AQ42" s="32">
        <f ca="1">(AQ41/12)</f>
        <v>4279.8517731592137</v>
      </c>
      <c r="AR42" s="32">
        <f t="shared" ref="AR42" si="66">(AR41/12)</f>
        <v>0</v>
      </c>
      <c r="BD42" s="31">
        <v>40</v>
      </c>
      <c r="BE42" s="35">
        <v>20</v>
      </c>
      <c r="BF42" s="36">
        <v>0.42</v>
      </c>
    </row>
    <row r="43" spans="24:58" ht="39.950000000000003" hidden="1" customHeight="1" x14ac:dyDescent="0.25">
      <c r="AA43" s="44" t="s">
        <v>47</v>
      </c>
      <c r="AB43" s="51">
        <v>20000</v>
      </c>
      <c r="AE43" s="44" t="s">
        <v>1</v>
      </c>
      <c r="AF43" s="44" t="s">
        <v>1</v>
      </c>
      <c r="AG43" s="44" t="s">
        <v>1</v>
      </c>
      <c r="AH43" s="51">
        <f ca="1">COUNTIF(AE43,"Yok")*(0)
+COUNTIF(AE43,"Askerlik Yardımı")*($AB$40/AY73)
+COUNTIF(AE43,"Cenaze Yardımı (Anne-Baba)")*($AB$41+$AB$41*0.00759)
+COUNTIF(AE43,"Cenaze Yardımı (Eş-Çocuk)")*($AB$42+$AB$42*0.00759)
+COUNTIF(AE43,"Cenaze Yardımı (İşçi-İş Kazası Sonucu)")*($AB$43+$AB$43*0.00759)
+COUNTIF(AE43,"Cenaze Yardımı (İşçi-Tabii Sebepler Sonucu)")*($AB$44+$AB$44*0.00759)
+COUNTIF(AE43,"Doğal Afet Yardımı")*($AB$45+$AB$45*0.00759)
+COUNTIF(AE43,"Eğitim Yardımı (Çocuk-İlköğretim)")*($AB$46/AY73)
+COUNTIF(AE43,"Eğitim Yardımı (Çocuk-Ortaöğretim)")*($AB$47/AY73)
+COUNTIF(AE43,"Eğitim Yardımı (Çocuk-Lise)")*($AB$48/AY73)
+COUNTIF(AE43,"Eğitim Yardımı (Çocuk-Yükseköğretim)")*($AB$49/AY73)
+COUNTIF(AE43,"Eğitim Yardımı (İşçi-Lise)")*($AB$50/AY73)
+COUNTIF(AE43,"Eğitim Yardımı (İşçi-Yükseköğretim)")*($AB$51/AY73)
+COUNTIF(AE43,"Evlilik Yardımı")*($AB$52+$AB$52*0.00759)
+COUNTIF(AE43,"Gıda Yardımı")*($AB$53/AY73)
+COUNTIF(AE43,"İş Kazası veya Meslek Hastalığı Tazminatı")*($AB$54+$AB$54*0.00759)
+COUNTIF(AF43,"Yok")*(0)
+COUNTIF(AF43,"Askerlik Yardımı")*($AB$40/AY73)
+COUNTIF(AF43,"Cenaze Yardımı (Anne-Baba)")*($AB$41+$AB$41*0.00759)
+COUNTIF(AF43,"Cenaze Yardımı (Eş-Çocuk)")*($AB$42+$AB$42*0.00759)
+COUNTIF(AF43,"Cenaze Yardımı (İşçi-İş Kazası Sonucu)")*($AB$43+$AB$43*0.00759)
+COUNTIF(AF43,"Cenaze Yardımı (İşçi-Tabii Sebepler Sonucu)")*($AB$44+$AB$44*0.00759)
+COUNTIF(AF43,"Doğal Afet Yardımı")*($AB$45+$AB$45*0.00759)
+COUNTIF(AF43,"Eğitim Yardımı (Çocuk-İlköğretim)")*($AB$46/AY73)
+COUNTIF(AF43,"Eğitim Yardımı (Çocuk-Ortaöğretim)")*($AB$47/AY73)
+COUNTIF(AF43,"Eğitim Yardımı (Çocuk-Lise)")*($AB$48/AY73)
+COUNTIF(AF43,"Eğitim Yardımı (Çocuk-Yükseköğretim)")*($AB$49/AY73)
+COUNTIF(AF43,"Eğitim Yardımı (İşçi-Lise)")*($AB$50/AY73)
+COUNTIF(AF43,"Eğitim Yardımı (İşçi-Yükseköğretim)")*($AB$51/AY73)
+COUNTIF(AF43,"Evlilik Yardımı")*($AB$52+$AB$52*0.00759)
+COUNTIF(AF43,"Gıda Yardımı")*($AB$53/AY73)
+COUNTIF(AF43,"İş Kazası veya Meslek Hastalığı Tazminatı")*($AB$54+$AB$54*0.00759)
+COUNTIF(AG43,"Yok")*(0)
+COUNTIF(AG43,"Askerlik Yardımı")*($AB$40/AY73)
+COUNTIF(AG43,"Cenaze Yardımı (Anne-Baba)")*($AB$41+$AB$41*0.00759)
+COUNTIF(AG43,"Cenaze Yardımı (Eş-Çocuk)")*($AB$42+$AB$42*0.00759)
+COUNTIF(AG43,"Cenaze Yardımı (İşçi-İş Kazası Sonucu)")*($AB$43+$AB$43*0.00759)
+COUNTIF(AG43,"Cenaze Yardımı (İşçi-Tabii Sebepler Sonucu)")*($AB$44+$AB$44*0.00759)
+COUNTIF(AG43,"Doğal Afet Yardımı")*($AB$45+$AB$45*0.00759)
+COUNTIF(AG43,"Eğitim Yardımı (Çocuk-İlköğretim)")*($AB$46/AY73)
+COUNTIF(AG43,"Eğitim Yardımı (Çocuk-Ortaöğretim)")*($AB$47/AY73)
+COUNTIF(AG43,"Eğitim Yardımı (Çocuk-Lise)")*($AB$48/AY73)
+COUNTIF(AG43,"Eğitim Yardımı (Çocuk-Yükseköğretim)")*($AB$49/AY73)
+COUNTIF(AG43,"Eğitim Yardımı (İşçi-Lise)")*($AB$50/AY73)
+COUNTIF(AG43,"Eğitim Yardımı (İşçi-Yükseköğretim)")*($AB$51/AY73)
+COUNTIF(AG43,"Evlilik Yardımı")*($AB$52+$AB$52*0.00759)
+COUNTIF(AG43,"Gıda Yardımı")*($AB$53/AY73)
+COUNTIF(AG43,"İş Kazası veya Meslek Hastalığı Tazminatı")*($AB$54+$AB$54*0.00759)</f>
        <v>0</v>
      </c>
      <c r="AI43" s="51">
        <f>COUNTIF(AE43,"Yok")*(0)
+COUNTIF(AE43,"Askerlik Yardımı")*(0)
+COUNTIF(AE43,"Cenaze Yardımı (Anne-Baba)")*($AB$41+$AB$41*0.00759)
+COUNTIF(AE43,"Cenaze Yardımı (Eş-Çocuk)")*($AB$42+$AB$42*0.00759)
+COUNTIF(AE43,"Cenaze Yardımı (İşçi-İş Kazası Sonucu)")*($AB$43+$AB$43*0.00759)
+COUNTIF(AE43,"Cenaze Yardımı (İşçi-Tabii Sebepler Sonucu)")*($AB$44+$AB$44*0.00759)
+COUNTIF(AE43,"Doğal Afet Yardımı")*($AB$45+$AB$45*0.00759)
+COUNTIF(AE43,"Eğitim Yardımı (Çocuk-İlköğretim)")*(0)
+COUNTIF(AE43,"Eğitim Yardımı (Çocuk-Ortaöğretim)")*(0)
+COUNTIF(AE43,"Eğitim Yardımı (Çocuk-Lise)")*(0)
+COUNTIF(AE43,"Eğitim Yardımı (Çocuk-Yükseköğretim)")*(0)
+COUNTIF(AE43,"Eğitim Yardımı (İşçi-Lise)")*(0)
+COUNTIF(AE43,"Eğitim Yardımı (İşçi-Yükseköğretim)")*(0)
+COUNTIF(AE43,"Evlilik Yardımı")*($AB$52+$AB$52*0.00759)
+COUNTIF(AE43,"Gıda Yardımı")*(0)
+COUNTIF(AE43,"İş Kazası veya Meslek Hastalığı Tazminatı")*($AB$54+$AB$54*0.00759)
+COUNTIF(AF43,"Yok")*(0)
+COUNTIF(AF43,"Askerlik Yardımı")*(0)
+COUNTIF(AF43,"Cenaze Yardımı (Anne-Baba)")*($AB$41+$AB$41*0.00759)
+COUNTIF(AF43,"Cenaze Yardımı (Eş-Çocuk)")*($AB$42+$AB$42*0.00759)
+COUNTIF(AF43,"Cenaze Yardımı (İşçi-İş Kazası Sonucu)")*($AB$43+$AB$43*0.00759)
+COUNTIF(AF43,"Cenaze Yardımı (İşçi-Tabii Sebepler Sonucu)")*($AB$44+$AB$44*0.00759)
+COUNTIF(AF43,"Doğal Afet Yardımı")*($AB$45+$AB$45*0.00759)
+COUNTIF(AF43,"Eğitim Yardımı (Çocuk-İlköğretim)")*(0)
+COUNTIF(AF43,"Eğitim Yardımı (Çocuk-Ortaöğretim)")*(0)
+COUNTIF(AF43,"Eğitim Yardımı (Çocuk-Lise)")*(0)
+COUNTIF(AF43,"Eğitim Yardımı (Çocuk-Yükseköğretim)")*(0)
+COUNTIF(AF43,"Eğitim Yardımı (İşçi-Lise)")*(0)
+COUNTIF(AF43,"Eğitim Yardımı (İşçi-Yükseköğretim)")*(0)
+COUNTIF(AF43,"Evlilik Yardımı")*($AB$52+$AB$52*0.00759)
+COUNTIF(AF43,"Gıda Yardımı")*(0)
+COUNTIF(AF43,"İş Kazası veya Meslek Hastalığı Tazminatı")*($AB$54+$AB$54*0.00759)
+COUNTIF(AG43,"Yok")*(0)
+COUNTIF(AG43,"Askerlik Yardımı")*(0)
+COUNTIF(AG43,"Cenaze Yardımı (Anne-Baba)")*($AB$41+$AB$41*0.00759)
+COUNTIF(AG43,"Cenaze Yardımı (Eş-Çocuk)")*($AB$42+$AB$42*0.00759)
+COUNTIF(AG43,"Cenaze Yardımı (İşçi-İş Kazası Sonucu)")*($AB$43+$AB$43*0.00759)
+COUNTIF(AG43,"Cenaze Yardımı (İşçi-Tabii Sebepler Sonucu)")*($AB$44+$AB$44*0.00759)
+COUNTIF(AG43,"Doğal Afet Yardımı")*($AB$45+$AB$45*0.00759)
+COUNTIF(AG43,"Eğitim Yardımı (Çocuk-İlköğretim)")*(0)
+COUNTIF(AG43,"Eğitim Yardımı (Çocuk-Ortaöğretim)")*(0)
+COUNTIF(AG43,"Eğitim Yardımı (Çocuk-Lise)")*(0)
+COUNTIF(AG43,"Eğitim Yardımı (Çocuk-Yükseköğretim)")*(0)
+COUNTIF(AG43,"Eğitim Yardımı (İşçi-Lise)")*(0)
+COUNTIF(AG43,"Eğitim Yardımı (İşçi-Yükseköğretim)")*(0)
+COUNTIF(AG43,"Evlilik Yardımı")*($AB$52+$AB$52*0.00759)
+COUNTIF(AG43,"Gıda Yardımı")*(0)
+COUNTIF(AG43,"İş Kazası veya Meslek Hastalığı Tazminatı")*($AB$54+$AB$54*0.00759)</f>
        <v>0</v>
      </c>
      <c r="AJ43" s="51">
        <f>COUNTIF(AE43,"Yok")*(0)
+COUNTIF(AE43,"Askerlik Yardımı")*($AB$40)
+COUNTIF(AE43,"Cenaze Yardımı (Anne-Baba)")*($AB$41)
+COUNTIF(AE43,"Cenaze Yardımı (Eş-Çocuk)")*($AB$42)
+COUNTIF(AE43,"Cenaze Yardımı (İşçi-İş Kazası Sonucu)")*($AB$43)
+COUNTIF(AE43,"Cenaze Yardımı (İşçi-Tabii Sebepler Sonucu)")*($AB$44)
+COUNTIF(AE43,"Doğal Afet Yardımı")*($AB$45)
+COUNTIF(AE43,"Eğitim Yardımı (Çocuk-İlköğretim)")*($AB$46)
+COUNTIF(AE43,"Eğitim Yardımı (Çocuk-Ortaöğretim)")*($AB$47)
+COUNTIF(AE43,"Eğitim Yardımı (Çocuk-Lise)")*($AB$48)
+COUNTIF(AE43,"Eğitim Yardımı (Çocuk-Yükseköğretim)")*($AB$49)
+COUNTIF(AE43,"Eğitim Yardımı (İşçi-Lise)")*($AB$50)
+COUNTIF(AE43,"Eğitim Yardımı (İşçi-Yükseköğretim)")*($AB$51)
+COUNTIF(AE43,"Evlilik Yardımı")*($AB$52)
+COUNTIF(AE43,"Gıda Yardımı")*($AB$53)
+COUNTIF(AE43,"İş Kazası veya Meslek Hastalığı Tazminatı")*($AB$54)
+COUNTIF(AF43,"Yok")*(0)
+COUNTIF(AF43,"Askerlik Yardımı")*($AB$40)
+COUNTIF(AF43,"Cenaze Yardımı (Anne-Baba)")*($AB$41)
+COUNTIF(AF43,"Cenaze Yardımı (Eş-Çocuk)")*($AB$42)
+COUNTIF(AF43,"Cenaze Yardımı (İşçi-İş Kazası Sonucu)")*($AB$43)
+COUNTIF(AF43,"Cenaze Yardımı (İşçi-Tabii Sebepler Sonucu)")*($AB$44)
+COUNTIF(AF43,"Doğal Afet Yardımı")*($AB$45)
+COUNTIF(AF43,"Eğitim Yardımı (Çocuk-İlköğretim)")*($AB$46)
+COUNTIF(AF43,"Eğitim Yardımı (Çocuk-Ortaöğretim)")*($AB$47)
+COUNTIF(AF43,"Eğitim Yardımı (Çocuk-Lise)")*($AB$48)
+COUNTIF(AF43,"Eğitim Yardımı (Çocuk-Yükseköğretim)")*($AB$49)
+COUNTIF(AF43,"Eğitim Yardımı (İşçi-Lise)")*($AB$50)
+COUNTIF(AF43,"Eğitim Yardımı (İşçi-Yükseköğretim)")*($AB$51)
+COUNTIF(AF43,"Evlilik Yardımı")*($AB$52)
+COUNTIF(AF43,"Gıda Yardımı")*($AB$53)
+COUNTIF(AF43,"İş Kazası veya Meslek Hastalığı Tazminatı")*($AB$54)
+COUNTIF(AG43,"Yok")*(0)
+COUNTIF(AG43,"Askerlik Yardımı")*($AB$40)
+COUNTIF(AG43,"Cenaze Yardımı (Anne-Baba)")*($AB$41)
+COUNTIF(AG43,"Cenaze Yardımı (Eş-Çocuk)")*($AB$42)
+COUNTIF(AG43,"Cenaze Yardımı (İşçi-İş Kazası Sonucu)")*($AB$43)
+COUNTIF(AG43,"Cenaze Yardımı (İşçi-Tabii Sebepler Sonucu)")*($AB$44)
+COUNTIF(AG43,"Doğal Afet Yardımı")*($AB$45)
+COUNTIF(AG43,"Eğitim Yardımı (Çocuk-İlköğretim)")*($AB$46)
+COUNTIF(AG43,"Eğitim Yardımı (Çocuk-Ortaöğretim)")*($AB$47)
+COUNTIF(AG43,"Eğitim Yardımı (Çocuk-Lise)")*($AB$48)
+COUNTIF(AG43,"Eğitim Yardımı (Çocuk-Yükseköğretim)")*($AB$49)
+COUNTIF(AG43,"Eğitim Yardımı (İşçi-Lise)")*($AB$50)
+COUNTIF(AG43,"Eğitim Yardımı (İşçi-Yükseköğretim)")*($AB$51)
+COUNTIF(AG43,"Evlilik Yardımı")*($AB$52)
+COUNTIF(AG43,"Gıda Yardımı")*($AB$53)
+COUNTIF(AG43,"İş Kazası veya Meslek Hastalığı Tazminatı")*($AB$54)</f>
        <v>0</v>
      </c>
      <c r="AK43" s="44" t="s">
        <v>1</v>
      </c>
      <c r="AL43" s="32">
        <f>COUNTIF(AK43,"Var")*(E15*0.9*-1)</f>
        <v>0</v>
      </c>
      <c r="AM43" s="32">
        <f>(AL43*-1)</f>
        <v>0</v>
      </c>
      <c r="AN43" s="51">
        <f ca="1">(AK73*L15+AO43)*-1</f>
        <v>0</v>
      </c>
      <c r="AO43" s="51">
        <f>(AO15+AQ15+AS15+AG29+AI29-AK1)*(L15*-1)</f>
        <v>0</v>
      </c>
      <c r="AP43" s="51">
        <f ca="1">(AN43+AO43)</f>
        <v>0</v>
      </c>
      <c r="BD43" s="31">
        <v>41</v>
      </c>
      <c r="BE43" s="35">
        <v>20.5</v>
      </c>
      <c r="BF43" s="36">
        <v>0.43</v>
      </c>
    </row>
    <row r="44" spans="24:58" ht="39.950000000000003" hidden="1" customHeight="1" x14ac:dyDescent="0.25">
      <c r="AA44" s="44" t="s">
        <v>48</v>
      </c>
      <c r="AB44" s="51">
        <v>20000</v>
      </c>
      <c r="AE44" s="44" t="s">
        <v>1</v>
      </c>
      <c r="AF44" s="44" t="s">
        <v>1</v>
      </c>
      <c r="AG44" s="44" t="s">
        <v>1</v>
      </c>
      <c r="AH44" s="51">
        <f ca="1">COUNTIF(AE44,"Yok")*(0)
+COUNTIF(AE44,"Askerlik Yardımı")*($AB$40/AY74)
+COUNTIF(AE44,"Cenaze Yardımı (Anne-Baba)")*($AB$41+$AB$41*0.00759)
+COUNTIF(AE44,"Cenaze Yardımı (Eş-Çocuk)")*($AB$42+$AB$42*0.00759)
+COUNTIF(AE44,"Cenaze Yardımı (İşçi-İş Kazası Sonucu)")*($AB$43+$AB$43*0.00759)
+COUNTIF(AE44,"Cenaze Yardımı (İşçi-Tabii Sebepler Sonucu)")*($AB$44+$AB$44*0.00759)
+COUNTIF(AE44,"Doğal Afet Yardımı")*($AB$45+$AB$45*0.00759)
+COUNTIF(AE44,"Eğitim Yardımı (Çocuk-İlköğretim)")*($AB$46/AY74)
+COUNTIF(AE44,"Eğitim Yardımı (Çocuk-Ortaöğretim)")*($AB$47/AY74)
+COUNTIF(AE44,"Eğitim Yardımı (Çocuk-Lise)")*($AB$48/AY74)
+COUNTIF(AE44,"Eğitim Yardımı (Çocuk-Yükseköğretim)")*($AB$49/AY74)
+COUNTIF(AE44,"Eğitim Yardımı (İşçi-Lise)")*($AB$50/AY74)
+COUNTIF(AE44,"Eğitim Yardımı (İşçi-Yükseköğretim)")*($AB$51/AY74)
+COUNTIF(AE44,"Evlilik Yardımı")*($AB$52+$AB$52*0.00759)
+COUNTIF(AE44,"Gıda Yardımı")*($AB$53/AY74)
+COUNTIF(AE44,"İş Kazası veya Meslek Hastalığı Tazminatı")*($AB$54+$AB$54*0.00759)
+COUNTIF(AF44,"Yok")*(0)
+COUNTIF(AF44,"Askerlik Yardımı")*($AB$40/AY74)
+COUNTIF(AF44,"Cenaze Yardımı (Anne-Baba)")*($AB$41+$AB$41*0.00759)
+COUNTIF(AF44,"Cenaze Yardımı (Eş-Çocuk)")*($AB$42+$AB$42*0.00759)
+COUNTIF(AF44,"Cenaze Yardımı (İşçi-İş Kazası Sonucu)")*($AB$43+$AB$43*0.00759)
+COUNTIF(AF44,"Cenaze Yardımı (İşçi-Tabii Sebepler Sonucu)")*($AB$44+$AB$44*0.00759)
+COUNTIF(AF44,"Doğal Afet Yardımı")*($AB$45+$AB$45*0.00759)
+COUNTIF(AF44,"Eğitim Yardımı (Çocuk-İlköğretim)")*($AB$46/AY74)
+COUNTIF(AF44,"Eğitim Yardımı (Çocuk-Ortaöğretim)")*($AB$47/AY74)
+COUNTIF(AF44,"Eğitim Yardımı (Çocuk-Lise)")*($AB$48/AY74)
+COUNTIF(AF44,"Eğitim Yardımı (Çocuk-Yükseköğretim)")*($AB$49/AY74)
+COUNTIF(AF44,"Eğitim Yardımı (İşçi-Lise)")*($AB$50/AY74)
+COUNTIF(AF44,"Eğitim Yardımı (İşçi-Yükseköğretim)")*($AB$51/AY74)
+COUNTIF(AF44,"Evlilik Yardımı")*($AB$52+$AB$52*0.00759)
+COUNTIF(AF44,"Gıda Yardımı")*($AB$53/AY74)
+COUNTIF(AF44,"İş Kazası veya Meslek Hastalığı Tazminatı")*($AB$54+$AB$54*0.00759)
+COUNTIF(AG44,"Yok")*(0)
+COUNTIF(AG44,"Askerlik Yardımı")*($AB$40/AY74)
+COUNTIF(AG44,"Cenaze Yardımı (Anne-Baba)")*($AB$41+$AB$41*0.00759)
+COUNTIF(AG44,"Cenaze Yardımı (Eş-Çocuk)")*($AB$42+$AB$42*0.00759)
+COUNTIF(AG44,"Cenaze Yardımı (İşçi-İş Kazası Sonucu)")*($AB$43+$AB$43*0.00759)
+COUNTIF(AG44,"Cenaze Yardımı (İşçi-Tabii Sebepler Sonucu)")*($AB$44+$AB$44*0.00759)
+COUNTIF(AG44,"Doğal Afet Yardımı")*($AB$45+$AB$45*0.00759)
+COUNTIF(AG44,"Eğitim Yardımı (Çocuk-İlköğretim)")*($AB$46/AY74)
+COUNTIF(AG44,"Eğitim Yardımı (Çocuk-Ortaöğretim)")*($AB$47/AY74)
+COUNTIF(AG44,"Eğitim Yardımı (Çocuk-Lise)")*($AB$48/AY74)
+COUNTIF(AG44,"Eğitim Yardımı (Çocuk-Yükseköğretim)")*($AB$49/AY74)
+COUNTIF(AG44,"Eğitim Yardımı (İşçi-Lise)")*($AB$50/AY74)
+COUNTIF(AG44,"Eğitim Yardımı (İşçi-Yükseköğretim)")*($AB$51/AY74)
+COUNTIF(AG44,"Evlilik Yardımı")*($AB$52+$AB$52*0.00759)
+COUNTIF(AG44,"Gıda Yardımı")*($AB$53/AY74)
+COUNTIF(AG44,"İş Kazası veya Meslek Hastalığı Tazminatı")*($AB$54+$AB$54*0.00759)</f>
        <v>0</v>
      </c>
      <c r="AI44" s="51">
        <f>COUNTIF(AE44,"Yok")*(0)
+COUNTIF(AE44,"Askerlik Yardımı")*(0)
+COUNTIF(AE44,"Cenaze Yardımı (Anne-Baba)")*($AB$41+$AB$41*0.00759)
+COUNTIF(AE44,"Cenaze Yardımı (Eş-Çocuk)")*($AB$42+$AB$42*0.00759)
+COUNTIF(AE44,"Cenaze Yardımı (İşçi-İş Kazası Sonucu)")*($AB$43+$AB$43*0.00759)
+COUNTIF(AE44,"Cenaze Yardımı (İşçi-Tabii Sebepler Sonucu)")*($AB$44+$AB$44*0.00759)
+COUNTIF(AE44,"Doğal Afet Yardımı")*($AB$45+$AB$45*0.00759)
+COUNTIF(AE44,"Eğitim Yardımı (Çocuk-İlköğretim)")*(0)
+COUNTIF(AE44,"Eğitim Yardımı (Çocuk-Ortaöğretim)")*(0)
+COUNTIF(AE44,"Eğitim Yardımı (Çocuk-Lise)")*(0)
+COUNTIF(AE44,"Eğitim Yardımı (Çocuk-Yükseköğretim)")*(0)
+COUNTIF(AE44,"Eğitim Yardımı (İşçi-Lise)")*(0)
+COUNTIF(AE44,"Eğitim Yardımı (İşçi-Yükseköğretim)")*(0)
+COUNTIF(AE44,"Evlilik Yardımı")*($AB$52+$AB$52*0.00759)
+COUNTIF(AE44,"Gıda Yardımı")*(0)
+COUNTIF(AE44,"İş Kazası veya Meslek Hastalığı Tazminatı")*($AB$54+$AB$54*0.00759)
+COUNTIF(AF44,"Yok")*(0)
+COUNTIF(AF44,"Askerlik Yardımı")*(0)
+COUNTIF(AF44,"Cenaze Yardımı (Anne-Baba)")*($AB$41+$AB$41*0.00759)
+COUNTIF(AF44,"Cenaze Yardımı (Eş-Çocuk)")*($AB$42+$AB$42*0.00759)
+COUNTIF(AF44,"Cenaze Yardımı (İşçi-İş Kazası Sonucu)")*($AB$43+$AB$43*0.00759)
+COUNTIF(AF44,"Cenaze Yardımı (İşçi-Tabii Sebepler Sonucu)")*($AB$44+$AB$44*0.00759)
+COUNTIF(AF44,"Doğal Afet Yardımı")*($AB$45+$AB$45*0.00759)
+COUNTIF(AF44,"Eğitim Yardımı (Çocuk-İlköğretim)")*(0)
+COUNTIF(AF44,"Eğitim Yardımı (Çocuk-Ortaöğretim)")*(0)
+COUNTIF(AF44,"Eğitim Yardımı (Çocuk-Lise)")*(0)
+COUNTIF(AF44,"Eğitim Yardımı (Çocuk-Yükseköğretim)")*(0)
+COUNTIF(AF44,"Eğitim Yardımı (İşçi-Lise)")*(0)
+COUNTIF(AF44,"Eğitim Yardımı (İşçi-Yükseköğretim)")*(0)
+COUNTIF(AF44,"Evlilik Yardımı")*($AB$52+$AB$52*0.00759)
+COUNTIF(AF44,"Gıda Yardımı")*(0)
+COUNTIF(AF44,"İş Kazası veya Meslek Hastalığı Tazminatı")*($AB$54+$AB$54*0.00759)
+COUNTIF(AG44,"Yok")*(0)
+COUNTIF(AG44,"Askerlik Yardımı")*(0)
+COUNTIF(AG44,"Cenaze Yardımı (Anne-Baba)")*($AB$41+$AB$41*0.00759)
+COUNTIF(AG44,"Cenaze Yardımı (Eş-Çocuk)")*($AB$42+$AB$42*0.00759)
+COUNTIF(AG44,"Cenaze Yardımı (İşçi-İş Kazası Sonucu)")*($AB$43+$AB$43*0.00759)
+COUNTIF(AG44,"Cenaze Yardımı (İşçi-Tabii Sebepler Sonucu)")*($AB$44+$AB$44*0.00759)
+COUNTIF(AG44,"Doğal Afet Yardımı")*($AB$45+$AB$45*0.00759)
+COUNTIF(AG44,"Eğitim Yardımı (Çocuk-İlköğretim)")*(0)
+COUNTIF(AG44,"Eğitim Yardımı (Çocuk-Ortaöğretim)")*(0)
+COUNTIF(AG44,"Eğitim Yardımı (Çocuk-Lise)")*(0)
+COUNTIF(AG44,"Eğitim Yardımı (Çocuk-Yükseköğretim)")*(0)
+COUNTIF(AG44,"Eğitim Yardımı (İşçi-Lise)")*(0)
+COUNTIF(AG44,"Eğitim Yardımı (İşçi-Yükseköğretim)")*(0)
+COUNTIF(AG44,"Evlilik Yardımı")*($AB$52+$AB$52*0.00759)
+COUNTIF(AG44,"Gıda Yardımı")*(0)
+COUNTIF(AG44,"İş Kazası veya Meslek Hastalığı Tazminatı")*($AB$54+$AB$54*0.00759)</f>
        <v>0</v>
      </c>
      <c r="AJ44" s="51">
        <f>COUNTIF(AE44,"Yok")*(0)
+COUNTIF(AE44,"Askerlik Yardımı")*($AB$40)
+COUNTIF(AE44,"Cenaze Yardımı (Anne-Baba)")*($AB$41)
+COUNTIF(AE44,"Cenaze Yardımı (Eş-Çocuk)")*($AB$42)
+COUNTIF(AE44,"Cenaze Yardımı (İşçi-İş Kazası Sonucu)")*($AB$43)
+COUNTIF(AE44,"Cenaze Yardımı (İşçi-Tabii Sebepler Sonucu)")*($AB$44)
+COUNTIF(AE44,"Doğal Afet Yardımı")*($AB$45)
+COUNTIF(AE44,"Eğitim Yardımı (Çocuk-İlköğretim)")*($AB$46)
+COUNTIF(AE44,"Eğitim Yardımı (Çocuk-Ortaöğretim)")*($AB$47)
+COUNTIF(AE44,"Eğitim Yardımı (Çocuk-Lise)")*($AB$48)
+COUNTIF(AE44,"Eğitim Yardımı (Çocuk-Yükseköğretim)")*($AB$49)
+COUNTIF(AE44,"Eğitim Yardımı (İşçi-Lise)")*($AB$50)
+COUNTIF(AE44,"Eğitim Yardımı (İşçi-Yükseköğretim)")*($AB$51)
+COUNTIF(AE44,"Evlilik Yardımı")*($AB$52)
+COUNTIF(AE44,"Gıda Yardımı")*($AB$53)
+COUNTIF(AE44,"İş Kazası veya Meslek Hastalığı Tazminatı")*($AB$54)
+COUNTIF(AF44,"Yok")*(0)
+COUNTIF(AF44,"Askerlik Yardımı")*($AB$40)
+COUNTIF(AF44,"Cenaze Yardımı (Anne-Baba)")*($AB$41)
+COUNTIF(AF44,"Cenaze Yardımı (Eş-Çocuk)")*($AB$42)
+COUNTIF(AF44,"Cenaze Yardımı (İşçi-İş Kazası Sonucu)")*($AB$43)
+COUNTIF(AF44,"Cenaze Yardımı (İşçi-Tabii Sebepler Sonucu)")*($AB$44)
+COUNTIF(AF44,"Doğal Afet Yardımı")*($AB$45)
+COUNTIF(AF44,"Eğitim Yardımı (Çocuk-İlköğretim)")*($AB$46)
+COUNTIF(AF44,"Eğitim Yardımı (Çocuk-Ortaöğretim)")*($AB$47)
+COUNTIF(AF44,"Eğitim Yardımı (Çocuk-Lise)")*($AB$48)
+COUNTIF(AF44,"Eğitim Yardımı (Çocuk-Yükseköğretim)")*($AB$49)
+COUNTIF(AF44,"Eğitim Yardımı (İşçi-Lise)")*($AB$50)
+COUNTIF(AF44,"Eğitim Yardımı (İşçi-Yükseköğretim)")*($AB$51)
+COUNTIF(AF44,"Evlilik Yardımı")*($AB$52)
+COUNTIF(AF44,"Gıda Yardımı")*($AB$53)
+COUNTIF(AF44,"İş Kazası veya Meslek Hastalığı Tazminatı")*($AB$54)
+COUNTIF(AG44,"Yok")*(0)
+COUNTIF(AG44,"Askerlik Yardımı")*($AB$40)
+COUNTIF(AG44,"Cenaze Yardımı (Anne-Baba)")*($AB$41)
+COUNTIF(AG44,"Cenaze Yardımı (Eş-Çocuk)")*($AB$42)
+COUNTIF(AG44,"Cenaze Yardımı (İşçi-İş Kazası Sonucu)")*($AB$43)
+COUNTIF(AG44,"Cenaze Yardımı (İşçi-Tabii Sebepler Sonucu)")*($AB$44)
+COUNTIF(AG44,"Doğal Afet Yardımı")*($AB$45)
+COUNTIF(AG44,"Eğitim Yardımı (Çocuk-İlköğretim)")*($AB$46)
+COUNTIF(AG44,"Eğitim Yardımı (Çocuk-Ortaöğretim)")*($AB$47)
+COUNTIF(AG44,"Eğitim Yardımı (Çocuk-Lise)")*($AB$48)
+COUNTIF(AG44,"Eğitim Yardımı (Çocuk-Yükseköğretim)")*($AB$49)
+COUNTIF(AG44,"Eğitim Yardımı (İşçi-Lise)")*($AB$50)
+COUNTIF(AG44,"Eğitim Yardımı (İşçi-Yükseköğretim)")*($AB$51)
+COUNTIF(AG44,"Evlilik Yardımı")*($AB$52)
+COUNTIF(AG44,"Gıda Yardımı")*($AB$53)
+COUNTIF(AG44,"İş Kazası veya Meslek Hastalığı Tazminatı")*($AB$54)</f>
        <v>0</v>
      </c>
      <c r="AK44" s="44" t="s">
        <v>1</v>
      </c>
      <c r="AL44" s="32">
        <f>COUNTIF(AK44,"Var")*(E16*0.9*-1)</f>
        <v>0</v>
      </c>
      <c r="AM44" s="32">
        <f t="shared" ref="AM44:AM54" si="67">(AL44*-1)</f>
        <v>0</v>
      </c>
      <c r="AN44" s="51">
        <f ca="1">(AK74*L16+AO44)*-1</f>
        <v>0</v>
      </c>
      <c r="AO44" s="51">
        <f>(AO16+AQ16+AS16+AG30+AI30-AK2)*(L16*-1)</f>
        <v>0</v>
      </c>
      <c r="AP44" s="51">
        <f t="shared" ref="AP44:AP54" ca="1" si="68">(AN44+AO44)</f>
        <v>0</v>
      </c>
      <c r="BD44" s="31">
        <v>42</v>
      </c>
      <c r="BE44" s="35">
        <v>21</v>
      </c>
      <c r="BF44" s="36">
        <v>0.44</v>
      </c>
    </row>
    <row r="45" spans="24:58" ht="39.950000000000003" hidden="1" customHeight="1" x14ac:dyDescent="0.25">
      <c r="AA45" s="44" t="s">
        <v>2</v>
      </c>
      <c r="AB45" s="51">
        <v>12000</v>
      </c>
      <c r="AE45" s="44" t="s">
        <v>1</v>
      </c>
      <c r="AF45" s="44" t="s">
        <v>1</v>
      </c>
      <c r="AG45" s="44" t="s">
        <v>1</v>
      </c>
      <c r="AH45" s="51">
        <f ca="1">COUNTIF(AE45,"Yok")*(0)
+COUNTIF(AE45,"Askerlik Yardımı")*($AB$40/AY75)
+COUNTIF(AE45,"Cenaze Yardımı (Anne-Baba)")*($AB$41+$AB$41*0.00759)
+COUNTIF(AE45,"Cenaze Yardımı (Eş-Çocuk)")*($AB$42+$AB$42*0.00759)
+COUNTIF(AE45,"Cenaze Yardımı (İşçi-İş Kazası Sonucu)")*($AB$43+$AB$43*0.00759)
+COUNTIF(AE45,"Cenaze Yardımı (İşçi-Tabii Sebepler Sonucu)")*($AB$44+$AB$44*0.00759)
+COUNTIF(AE45,"Doğal Afet Yardımı")*($AB$45+$AB$45*0.00759)
+COUNTIF(AE45,"Eğitim Yardımı (Çocuk-İlköğretim)")*($AB$46/AY75)
+COUNTIF(AE45,"Eğitim Yardımı (Çocuk-Ortaöğretim)")*($AB$47/AY75)
+COUNTIF(AE45,"Eğitim Yardımı (Çocuk-Lise)")*($AB$48/AY75)
+COUNTIF(AE45,"Eğitim Yardımı (Çocuk-Yükseköğretim)")*($AB$49/AY75)
+COUNTIF(AE45,"Eğitim Yardımı (İşçi-Lise)")*($AB$50/AY75)
+COUNTIF(AE45,"Eğitim Yardımı (İşçi-Yükseköğretim)")*($AB$51/AY75)
+COUNTIF(AE45,"Evlilik Yardımı")*($AB$52+$AB$52*0.00759)
+COUNTIF(AE45,"Gıda Yardımı")*($AB$53/AY75)
+COUNTIF(AE45,"İş Kazası veya Meslek Hastalığı Tazminatı")*($AB$54+$AB$54*0.00759)
+COUNTIF(AF45,"Yok")*(0)
+COUNTIF(AF45,"Askerlik Yardımı")*($AB$40/AY75)
+COUNTIF(AF45,"Cenaze Yardımı (Anne-Baba)")*($AB$41+$AB$41*0.00759)
+COUNTIF(AF45,"Cenaze Yardımı (Eş-Çocuk)")*($AB$42+$AB$42*0.00759)
+COUNTIF(AF45,"Cenaze Yardımı (İşçi-İş Kazası Sonucu)")*($AB$43+$AB$43*0.00759)
+COUNTIF(AF45,"Cenaze Yardımı (İşçi-Tabii Sebepler Sonucu)")*($AB$44+$AB$44*0.00759)
+COUNTIF(AF45,"Doğal Afet Yardımı")*($AB$45+$AB$45*0.00759)
+COUNTIF(AF45,"Eğitim Yardımı (Çocuk-İlköğretim)")*($AB$46/AY75)
+COUNTIF(AF45,"Eğitim Yardımı (Çocuk-Ortaöğretim)")*($AB$47/AY75)
+COUNTIF(AF45,"Eğitim Yardımı (Çocuk-Lise)")*($AB$48/AY75)
+COUNTIF(AF45,"Eğitim Yardımı (Çocuk-Yükseköğretim)")*($AB$49/AY75)
+COUNTIF(AF45,"Eğitim Yardımı (İşçi-Lise)")*($AB$50/AY75)
+COUNTIF(AF45,"Eğitim Yardımı (İşçi-Yükseköğretim)")*($AB$51/AY75)
+COUNTIF(AF45,"Evlilik Yardımı")*($AB$52+$AB$52*0.00759)
+COUNTIF(AF45,"Gıda Yardımı")*($AB$53/AY75)
+COUNTIF(AF45,"İş Kazası veya Meslek Hastalığı Tazminatı")*($AB$54+$AB$54*0.00759)
+COUNTIF(AG45,"Yok")*(0)
+COUNTIF(AG45,"Askerlik Yardımı")*($AB$40/AY75)
+COUNTIF(AG45,"Cenaze Yardımı (Anne-Baba)")*($AB$41+$AB$41*0.00759)
+COUNTIF(AG45,"Cenaze Yardımı (Eş-Çocuk)")*($AB$42+$AB$42*0.00759)
+COUNTIF(AG45,"Cenaze Yardımı (İşçi-İş Kazası Sonucu)")*($AB$43+$AB$43*0.00759)
+COUNTIF(AG45,"Cenaze Yardımı (İşçi-Tabii Sebepler Sonucu)")*($AB$44+$AB$44*0.00759)
+COUNTIF(AG45,"Doğal Afet Yardımı")*($AB$45+$AB$45*0.00759)
+COUNTIF(AG45,"Eğitim Yardımı (Çocuk-İlköğretim)")*($AB$46/AY75)
+COUNTIF(AG45,"Eğitim Yardımı (Çocuk-Ortaöğretim)")*($AB$47/AY75)
+COUNTIF(AG45,"Eğitim Yardımı (Çocuk-Lise)")*($AB$48/AY75)
+COUNTIF(AG45,"Eğitim Yardımı (Çocuk-Yükseköğretim)")*($AB$49/AY75)
+COUNTIF(AG45,"Eğitim Yardımı (İşçi-Lise)")*($AB$50/AY75)
+COUNTIF(AG45,"Eğitim Yardımı (İşçi-Yükseköğretim)")*($AB$51/AY75)
+COUNTIF(AG45,"Evlilik Yardımı")*($AB$52+$AB$52*0.00759)
+COUNTIF(AG45,"Gıda Yardımı")*($AB$53/AY75)
+COUNTIF(AG45,"İş Kazası veya Meslek Hastalığı Tazminatı")*($AB$54+$AB$54*0.00759)</f>
        <v>0</v>
      </c>
      <c r="AI45" s="51">
        <f>COUNTIF(AE45,"Yok")*(0)
+COUNTIF(AE45,"Askerlik Yardımı")*(0)
+COUNTIF(AE45,"Cenaze Yardımı (Anne-Baba)")*($AB$41+$AB$41*0.00759)
+COUNTIF(AE45,"Cenaze Yardımı (Eş-Çocuk)")*($AB$42+$AB$42*0.00759)
+COUNTIF(AE45,"Cenaze Yardımı (İşçi-İş Kazası Sonucu)")*($AB$43+$AB$43*0.00759)
+COUNTIF(AE45,"Cenaze Yardımı (İşçi-Tabii Sebepler Sonucu)")*($AB$44+$AB$44*0.00759)
+COUNTIF(AE45,"Doğal Afet Yardımı")*($AB$45+$AB$45*0.00759)
+COUNTIF(AE45,"Eğitim Yardımı (Çocuk-İlköğretim)")*(0)
+COUNTIF(AE45,"Eğitim Yardımı (Çocuk-Ortaöğretim)")*(0)
+COUNTIF(AE45,"Eğitim Yardımı (Çocuk-Lise)")*(0)
+COUNTIF(AE45,"Eğitim Yardımı (Çocuk-Yükseköğretim)")*(0)
+COUNTIF(AE45,"Eğitim Yardımı (İşçi-Lise)")*(0)
+COUNTIF(AE45,"Eğitim Yardımı (İşçi-Yükseköğretim)")*(0)
+COUNTIF(AE45,"Evlilik Yardımı")*($AB$52+$AB$52*0.00759)
+COUNTIF(AE45,"Gıda Yardımı")*(0)
+COUNTIF(AE45,"İş Kazası veya Meslek Hastalığı Tazminatı")*($AB$54+$AB$54*0.00759)
+COUNTIF(AF45,"Yok")*(0)
+COUNTIF(AF45,"Askerlik Yardımı")*(0)
+COUNTIF(AF45,"Cenaze Yardımı (Anne-Baba)")*($AB$41+$AB$41*0.00759)
+COUNTIF(AF45,"Cenaze Yardımı (Eş-Çocuk)")*($AB$42+$AB$42*0.00759)
+COUNTIF(AF45,"Cenaze Yardımı (İşçi-İş Kazası Sonucu)")*($AB$43+$AB$43*0.00759)
+COUNTIF(AF45,"Cenaze Yardımı (İşçi-Tabii Sebepler Sonucu)")*($AB$44+$AB$44*0.00759)
+COUNTIF(AF45,"Doğal Afet Yardımı")*($AB$45+$AB$45*0.00759)
+COUNTIF(AF45,"Eğitim Yardımı (Çocuk-İlköğretim)")*(0)
+COUNTIF(AF45,"Eğitim Yardımı (Çocuk-Ortaöğretim)")*(0)
+COUNTIF(AF45,"Eğitim Yardımı (Çocuk-Lise)")*(0)
+COUNTIF(AF45,"Eğitim Yardımı (Çocuk-Yükseköğretim)")*(0)
+COUNTIF(AF45,"Eğitim Yardımı (İşçi-Lise)")*(0)
+COUNTIF(AF45,"Eğitim Yardımı (İşçi-Yükseköğretim)")*(0)
+COUNTIF(AF45,"Evlilik Yardımı")*($AB$52+$AB$52*0.00759)
+COUNTIF(AF45,"Gıda Yardımı")*(0)
+COUNTIF(AF45,"İş Kazası veya Meslek Hastalığı Tazminatı")*($AB$54+$AB$54*0.00759)
+COUNTIF(AG45,"Yok")*(0)
+COUNTIF(AG45,"Askerlik Yardımı")*(0)
+COUNTIF(AG45,"Cenaze Yardımı (Anne-Baba)")*($AB$41+$AB$41*0.00759)
+COUNTIF(AG45,"Cenaze Yardımı (Eş-Çocuk)")*($AB$42+$AB$42*0.00759)
+COUNTIF(AG45,"Cenaze Yardımı (İşçi-İş Kazası Sonucu)")*($AB$43+$AB$43*0.00759)
+COUNTIF(AG45,"Cenaze Yardımı (İşçi-Tabii Sebepler Sonucu)")*($AB$44+$AB$44*0.00759)
+COUNTIF(AG45,"Doğal Afet Yardımı")*($AB$45+$AB$45*0.00759)
+COUNTIF(AG45,"Eğitim Yardımı (Çocuk-İlköğretim)")*(0)
+COUNTIF(AG45,"Eğitim Yardımı (Çocuk-Ortaöğretim)")*(0)
+COUNTIF(AG45,"Eğitim Yardımı (Çocuk-Lise)")*(0)
+COUNTIF(AG45,"Eğitim Yardımı (Çocuk-Yükseköğretim)")*(0)
+COUNTIF(AG45,"Eğitim Yardımı (İşçi-Lise)")*(0)
+COUNTIF(AG45,"Eğitim Yardımı (İşçi-Yükseköğretim)")*(0)
+COUNTIF(AG45,"Evlilik Yardımı")*($AB$52+$AB$52*0.00759)
+COUNTIF(AG45,"Gıda Yardımı")*(0)
+COUNTIF(AG45,"İş Kazası veya Meslek Hastalığı Tazminatı")*($AB$54+$AB$54*0.00759)</f>
        <v>0</v>
      </c>
      <c r="AJ45" s="51">
        <f>COUNTIF(AE45,"Yok")*(0)
+COUNTIF(AE45,"Askerlik Yardımı")*($AB$40)
+COUNTIF(AE45,"Cenaze Yardımı (Anne-Baba)")*($AB$41)
+COUNTIF(AE45,"Cenaze Yardımı (Eş-Çocuk)")*($AB$42)
+COUNTIF(AE45,"Cenaze Yardımı (İşçi-İş Kazası Sonucu)")*($AB$43)
+COUNTIF(AE45,"Cenaze Yardımı (İşçi-Tabii Sebepler Sonucu)")*($AB$44)
+COUNTIF(AE45,"Doğal Afet Yardımı")*($AB$45)
+COUNTIF(AE45,"Eğitim Yardımı (Çocuk-İlköğretim)")*($AB$46)
+COUNTIF(AE45,"Eğitim Yardımı (Çocuk-Ortaöğretim)")*($AB$47)
+COUNTIF(AE45,"Eğitim Yardımı (Çocuk-Lise)")*($AB$48)
+COUNTIF(AE45,"Eğitim Yardımı (Çocuk-Yükseköğretim)")*($AB$49)
+COUNTIF(AE45,"Eğitim Yardımı (İşçi-Lise)")*($AB$50)
+COUNTIF(AE45,"Eğitim Yardımı (İşçi-Yükseköğretim)")*($AB$51)
+COUNTIF(AE45,"Evlilik Yardımı")*($AB$52)
+COUNTIF(AE45,"Gıda Yardımı")*($AB$53)
+COUNTIF(AE45,"İş Kazası veya Meslek Hastalığı Tazminatı")*($AB$54)
+COUNTIF(AF45,"Yok")*(0)
+COUNTIF(AF45,"Askerlik Yardımı")*($AB$40)
+COUNTIF(AF45,"Cenaze Yardımı (Anne-Baba)")*($AB$41)
+COUNTIF(AF45,"Cenaze Yardımı (Eş-Çocuk)")*($AB$42)
+COUNTIF(AF45,"Cenaze Yardımı (İşçi-İş Kazası Sonucu)")*($AB$43)
+COUNTIF(AF45,"Cenaze Yardımı (İşçi-Tabii Sebepler Sonucu)")*($AB$44)
+COUNTIF(AF45,"Doğal Afet Yardımı")*($AB$45)
+COUNTIF(AF45,"Eğitim Yardımı (Çocuk-İlköğretim)")*($AB$46)
+COUNTIF(AF45,"Eğitim Yardımı (Çocuk-Ortaöğretim)")*($AB$47)
+COUNTIF(AF45,"Eğitim Yardımı (Çocuk-Lise)")*($AB$48)
+COUNTIF(AF45,"Eğitim Yardımı (Çocuk-Yükseköğretim)")*($AB$49)
+COUNTIF(AF45,"Eğitim Yardımı (İşçi-Lise)")*($AB$50)
+COUNTIF(AF45,"Eğitim Yardımı (İşçi-Yükseköğretim)")*($AB$51)
+COUNTIF(AF45,"Evlilik Yardımı")*($AB$52)
+COUNTIF(AF45,"Gıda Yardımı")*($AB$53)
+COUNTIF(AF45,"İş Kazası veya Meslek Hastalığı Tazminatı")*($AB$54)
+COUNTIF(AG45,"Yok")*(0)
+COUNTIF(AG45,"Askerlik Yardımı")*($AB$40)
+COUNTIF(AG45,"Cenaze Yardımı (Anne-Baba)")*($AB$41)
+COUNTIF(AG45,"Cenaze Yardımı (Eş-Çocuk)")*($AB$42)
+COUNTIF(AG45,"Cenaze Yardımı (İşçi-İş Kazası Sonucu)")*($AB$43)
+COUNTIF(AG45,"Cenaze Yardımı (İşçi-Tabii Sebepler Sonucu)")*($AB$44)
+COUNTIF(AG45,"Doğal Afet Yardımı")*($AB$45)
+COUNTIF(AG45,"Eğitim Yardımı (Çocuk-İlköğretim)")*($AB$46)
+COUNTIF(AG45,"Eğitim Yardımı (Çocuk-Ortaöğretim)")*($AB$47)
+COUNTIF(AG45,"Eğitim Yardımı (Çocuk-Lise)")*($AB$48)
+COUNTIF(AG45,"Eğitim Yardımı (Çocuk-Yükseköğretim)")*($AB$49)
+COUNTIF(AG45,"Eğitim Yardımı (İşçi-Lise)")*($AB$50)
+COUNTIF(AG45,"Eğitim Yardımı (İşçi-Yükseköğretim)")*($AB$51)
+COUNTIF(AG45,"Evlilik Yardımı")*($AB$52)
+COUNTIF(AG45,"Gıda Yardımı")*($AB$53)
+COUNTIF(AG45,"İş Kazası veya Meslek Hastalığı Tazminatı")*($AB$54)</f>
        <v>0</v>
      </c>
      <c r="AK45" s="44" t="s">
        <v>1</v>
      </c>
      <c r="AL45" s="32">
        <f>COUNTIF(AK45,"Var")*(E17*0.9*-1)</f>
        <v>0</v>
      </c>
      <c r="AM45" s="32">
        <f t="shared" si="67"/>
        <v>0</v>
      </c>
      <c r="AN45" s="51">
        <f ca="1">(AK75*L17+AO45)*-1</f>
        <v>0</v>
      </c>
      <c r="AO45" s="51">
        <f>(AO17+AQ17+AS17+AG31+AI31-AK3)*(L17*-1)</f>
        <v>0</v>
      </c>
      <c r="AP45" s="51">
        <f t="shared" ca="1" si="68"/>
        <v>0</v>
      </c>
      <c r="BD45" s="31">
        <v>43</v>
      </c>
      <c r="BE45" s="35">
        <v>21.5</v>
      </c>
      <c r="BF45" s="36">
        <v>0.45</v>
      </c>
    </row>
    <row r="46" spans="24:58" ht="39.950000000000003" hidden="1" customHeight="1" x14ac:dyDescent="0.25">
      <c r="AA46" s="44" t="s">
        <v>51</v>
      </c>
      <c r="AB46" s="51">
        <v>2892</v>
      </c>
      <c r="AE46" s="44" t="s">
        <v>1</v>
      </c>
      <c r="AF46" s="44" t="s">
        <v>1</v>
      </c>
      <c r="AG46" s="44" t="s">
        <v>1</v>
      </c>
      <c r="AH46" s="51">
        <f ca="1">COUNTIF(AE46,"Yok")*(0)
+COUNTIF(AE46,"Askerlik Yardımı")*($AB$40/AY76)
+COUNTIF(AE46,"Cenaze Yardımı (Anne-Baba)")*($AB$41+$AB$41*0.00759)
+COUNTIF(AE46,"Cenaze Yardımı (Eş-Çocuk)")*($AB$42+$AB$42*0.00759)
+COUNTIF(AE46,"Cenaze Yardımı (İşçi-İş Kazası Sonucu)")*($AB$43+$AB$43*0.00759)
+COUNTIF(AE46,"Cenaze Yardımı (İşçi-Tabii Sebepler Sonucu)")*($AB$44+$AB$44*0.00759)
+COUNTIF(AE46,"Doğal Afet Yardımı")*($AB$45+$AB$45*0.00759)
+COUNTIF(AE46,"Eğitim Yardımı (Çocuk-İlköğretim)")*($AB$46/AY76)
+COUNTIF(AE46,"Eğitim Yardımı (Çocuk-Ortaöğretim)")*($AB$47/AY76)
+COUNTIF(AE46,"Eğitim Yardımı (Çocuk-Lise)")*($AB$48/AY76)
+COUNTIF(AE46,"Eğitim Yardımı (Çocuk-Yükseköğretim)")*($AB$49/AY76)
+COUNTIF(AE46,"Eğitim Yardımı (İşçi-Lise)")*($AB$50/AY76)
+COUNTIF(AE46,"Eğitim Yardımı (İşçi-Yükseköğretim)")*($AB$51/AY76)
+COUNTIF(AE46,"Evlilik Yardımı")*($AB$52+$AB$52*0.00759)
+COUNTIF(AE46,"Gıda Yardımı")*($AB$53/AY76)
+COUNTIF(AE46,"İş Kazası veya Meslek Hastalığı Tazminatı")*($AB$54+$AB$54*0.00759)
+COUNTIF(AF46,"Yok")*(0)
+COUNTIF(AF46,"Askerlik Yardımı")*($AB$40/AY76)
+COUNTIF(AF46,"Cenaze Yardımı (Anne-Baba)")*($AB$41+$AB$41*0.00759)
+COUNTIF(AF46,"Cenaze Yardımı (Eş-Çocuk)")*($AB$42+$AB$42*0.00759)
+COUNTIF(AF46,"Cenaze Yardımı (İşçi-İş Kazası Sonucu)")*($AB$43+$AB$43*0.00759)
+COUNTIF(AF46,"Cenaze Yardımı (İşçi-Tabii Sebepler Sonucu)")*($AB$44+$AB$44*0.00759)
+COUNTIF(AF46,"Doğal Afet Yardımı")*($AB$45+$AB$45*0.00759)
+COUNTIF(AF46,"Eğitim Yardımı (Çocuk-İlköğretim)")*($AB$46/AY76)
+COUNTIF(AF46,"Eğitim Yardımı (Çocuk-Ortaöğretim)")*($AB$47/AY76)
+COUNTIF(AF46,"Eğitim Yardımı (Çocuk-Lise)")*($AB$48/AY76)
+COUNTIF(AF46,"Eğitim Yardımı (Çocuk-Yükseköğretim)")*($AB$49/AY76)
+COUNTIF(AF46,"Eğitim Yardımı (İşçi-Lise)")*($AB$50/AY76)
+COUNTIF(AF46,"Eğitim Yardımı (İşçi-Yükseköğretim)")*($AB$51/AY76)
+COUNTIF(AF46,"Evlilik Yardımı")*($AB$52+$AB$52*0.00759)
+COUNTIF(AF46,"Gıda Yardımı")*($AB$53/AY76)
+COUNTIF(AF46,"İş Kazası veya Meslek Hastalığı Tazminatı")*($AB$54+$AB$54*0.00759)
+COUNTIF(AG46,"Yok")*(0)
+COUNTIF(AG46,"Askerlik Yardımı")*($AB$40/AY76)
+COUNTIF(AG46,"Cenaze Yardımı (Anne-Baba)")*($AB$41+$AB$41*0.00759)
+COUNTIF(AG46,"Cenaze Yardımı (Eş-Çocuk)")*($AB$42+$AB$42*0.00759)
+COUNTIF(AG46,"Cenaze Yardımı (İşçi-İş Kazası Sonucu)")*($AB$43+$AB$43*0.00759)
+COUNTIF(AG46,"Cenaze Yardımı (İşçi-Tabii Sebepler Sonucu)")*($AB$44+$AB$44*0.00759)
+COUNTIF(AG46,"Doğal Afet Yardımı")*($AB$45+$AB$45*0.00759)
+COUNTIF(AG46,"Eğitim Yardımı (Çocuk-İlköğretim)")*($AB$46/AY76)
+COUNTIF(AG46,"Eğitim Yardımı (Çocuk-Ortaöğretim)")*($AB$47/AY76)
+COUNTIF(AG46,"Eğitim Yardımı (Çocuk-Lise)")*($AB$48/AY76)
+COUNTIF(AG46,"Eğitim Yardımı (Çocuk-Yükseköğretim)")*($AB$49/AY76)
+COUNTIF(AG46,"Eğitim Yardımı (İşçi-Lise)")*($AB$50/AY76)
+COUNTIF(AG46,"Eğitim Yardımı (İşçi-Yükseköğretim)")*($AB$51/AY76)
+COUNTIF(AG46,"Evlilik Yardımı")*($AB$52+$AB$52*0.00759)
+COUNTIF(AG46,"Gıda Yardımı")*($AB$53/AY76)
+COUNTIF(AG46,"İş Kazası veya Meslek Hastalığı Tazminatı")*($AB$54+$AB$54*0.00759)</f>
        <v>0</v>
      </c>
      <c r="AI46" s="51">
        <f>COUNTIF(AE46,"Yok")*(0)
+COUNTIF(AE46,"Askerlik Yardımı")*(0)
+COUNTIF(AE46,"Cenaze Yardımı (Anne-Baba)")*($AB$41+$AB$41*0.00759)
+COUNTIF(AE46,"Cenaze Yardımı (Eş-Çocuk)")*($AB$42+$AB$42*0.00759)
+COUNTIF(AE46,"Cenaze Yardımı (İşçi-İş Kazası Sonucu)")*($AB$43+$AB$43*0.00759)
+COUNTIF(AE46,"Cenaze Yardımı (İşçi-Tabii Sebepler Sonucu)")*($AB$44+$AB$44*0.00759)
+COUNTIF(AE46,"Doğal Afet Yardımı")*($AB$45+$AB$45*0.00759)
+COUNTIF(AE46,"Eğitim Yardımı (Çocuk-İlköğretim)")*(0)
+COUNTIF(AE46,"Eğitim Yardımı (Çocuk-Ortaöğretim)")*(0)
+COUNTIF(AE46,"Eğitim Yardımı (Çocuk-Lise)")*(0)
+COUNTIF(AE46,"Eğitim Yardımı (Çocuk-Yükseköğretim)")*(0)
+COUNTIF(AE46,"Eğitim Yardımı (İşçi-Lise)")*(0)
+COUNTIF(AE46,"Eğitim Yardımı (İşçi-Yükseköğretim)")*(0)
+COUNTIF(AE46,"Evlilik Yardımı")*($AB$52+$AB$52*0.00759)
+COUNTIF(AE46,"Gıda Yardımı")*(0)
+COUNTIF(AE46,"İş Kazası veya Meslek Hastalığı Tazminatı")*($AB$54+$AB$54*0.00759)
+COUNTIF(AF46,"Yok")*(0)
+COUNTIF(AF46,"Askerlik Yardımı")*(0)
+COUNTIF(AF46,"Cenaze Yardımı (Anne-Baba)")*($AB$41+$AB$41*0.00759)
+COUNTIF(AF46,"Cenaze Yardımı (Eş-Çocuk)")*($AB$42+$AB$42*0.00759)
+COUNTIF(AF46,"Cenaze Yardımı (İşçi-İş Kazası Sonucu)")*($AB$43+$AB$43*0.00759)
+COUNTIF(AF46,"Cenaze Yardımı (İşçi-Tabii Sebepler Sonucu)")*($AB$44+$AB$44*0.00759)
+COUNTIF(AF46,"Doğal Afet Yardımı")*($AB$45+$AB$45*0.00759)
+COUNTIF(AF46,"Eğitim Yardımı (Çocuk-İlköğretim)")*(0)
+COUNTIF(AF46,"Eğitim Yardımı (Çocuk-Ortaöğretim)")*(0)
+COUNTIF(AF46,"Eğitim Yardımı (Çocuk-Lise)")*(0)
+COUNTIF(AF46,"Eğitim Yardımı (Çocuk-Yükseköğretim)")*(0)
+COUNTIF(AF46,"Eğitim Yardımı (İşçi-Lise)")*(0)
+COUNTIF(AF46,"Eğitim Yardımı (İşçi-Yükseköğretim)")*(0)
+COUNTIF(AF46,"Evlilik Yardımı")*($AB$52+$AB$52*0.00759)
+COUNTIF(AF46,"Gıda Yardımı")*(0)
+COUNTIF(AF46,"İş Kazası veya Meslek Hastalığı Tazminatı")*($AB$54+$AB$54*0.00759)
+COUNTIF(AG46,"Yok")*(0)
+COUNTIF(AG46,"Askerlik Yardımı")*(0)
+COUNTIF(AG46,"Cenaze Yardımı (Anne-Baba)")*($AB$41+$AB$41*0.00759)
+COUNTIF(AG46,"Cenaze Yardımı (Eş-Çocuk)")*($AB$42+$AB$42*0.00759)
+COUNTIF(AG46,"Cenaze Yardımı (İşçi-İş Kazası Sonucu)")*($AB$43+$AB$43*0.00759)
+COUNTIF(AG46,"Cenaze Yardımı (İşçi-Tabii Sebepler Sonucu)")*($AB$44+$AB$44*0.00759)
+COUNTIF(AG46,"Doğal Afet Yardımı")*($AB$45+$AB$45*0.00759)
+COUNTIF(AG46,"Eğitim Yardımı (Çocuk-İlköğretim)")*(0)
+COUNTIF(AG46,"Eğitim Yardımı (Çocuk-Ortaöğretim)")*(0)
+COUNTIF(AG46,"Eğitim Yardımı (Çocuk-Lise)")*(0)
+COUNTIF(AG46,"Eğitim Yardımı (Çocuk-Yükseköğretim)")*(0)
+COUNTIF(AG46,"Eğitim Yardımı (İşçi-Lise)")*(0)
+COUNTIF(AG46,"Eğitim Yardımı (İşçi-Yükseköğretim)")*(0)
+COUNTIF(AG46,"Evlilik Yardımı")*($AB$52+$AB$52*0.00759)
+COUNTIF(AG46,"Gıda Yardımı")*(0)
+COUNTIF(AG46,"İş Kazası veya Meslek Hastalığı Tazminatı")*($AB$54+$AB$54*0.00759)</f>
        <v>0</v>
      </c>
      <c r="AJ46" s="51">
        <f>COUNTIF(AE46,"Yok")*(0)
+COUNTIF(AE46,"Askerlik Yardımı")*($AB$40)
+COUNTIF(AE46,"Cenaze Yardımı (Anne-Baba)")*($AB$41)
+COUNTIF(AE46,"Cenaze Yardımı (Eş-Çocuk)")*($AB$42)
+COUNTIF(AE46,"Cenaze Yardımı (İşçi-İş Kazası Sonucu)")*($AB$43)
+COUNTIF(AE46,"Cenaze Yardımı (İşçi-Tabii Sebepler Sonucu)")*($AB$44)
+COUNTIF(AE46,"Doğal Afet Yardımı")*($AB$45)
+COUNTIF(AE46,"Eğitim Yardımı (Çocuk-İlköğretim)")*($AB$46)
+COUNTIF(AE46,"Eğitim Yardımı (Çocuk-Ortaöğretim)")*($AB$47)
+COUNTIF(AE46,"Eğitim Yardımı (Çocuk-Lise)")*($AB$48)
+COUNTIF(AE46,"Eğitim Yardımı (Çocuk-Yükseköğretim)")*($AB$49)
+COUNTIF(AE46,"Eğitim Yardımı (İşçi-Lise)")*($AB$50)
+COUNTIF(AE46,"Eğitim Yardımı (İşçi-Yükseköğretim)")*($AB$51)
+COUNTIF(AE46,"Evlilik Yardımı")*($AB$52)
+COUNTIF(AE46,"Gıda Yardımı")*($AB$53)
+COUNTIF(AE46,"İş Kazası veya Meslek Hastalığı Tazminatı")*($AB$54)
+COUNTIF(AF46,"Yok")*(0)
+COUNTIF(AF46,"Askerlik Yardımı")*($AB$40)
+COUNTIF(AF46,"Cenaze Yardımı (Anne-Baba)")*($AB$41)
+COUNTIF(AF46,"Cenaze Yardımı (Eş-Çocuk)")*($AB$42)
+COUNTIF(AF46,"Cenaze Yardımı (İşçi-İş Kazası Sonucu)")*($AB$43)
+COUNTIF(AF46,"Cenaze Yardımı (İşçi-Tabii Sebepler Sonucu)")*($AB$44)
+COUNTIF(AF46,"Doğal Afet Yardımı")*($AB$45)
+COUNTIF(AF46,"Eğitim Yardımı (Çocuk-İlköğretim)")*($AB$46)
+COUNTIF(AF46,"Eğitim Yardımı (Çocuk-Ortaöğretim)")*($AB$47)
+COUNTIF(AF46,"Eğitim Yardımı (Çocuk-Lise)")*($AB$48)
+COUNTIF(AF46,"Eğitim Yardımı (Çocuk-Yükseköğretim)")*($AB$49)
+COUNTIF(AF46,"Eğitim Yardımı (İşçi-Lise)")*($AB$50)
+COUNTIF(AF46,"Eğitim Yardımı (İşçi-Yükseköğretim)")*($AB$51)
+COUNTIF(AF46,"Evlilik Yardımı")*($AB$52)
+COUNTIF(AF46,"Gıda Yardımı")*($AB$53)
+COUNTIF(AF46,"İş Kazası veya Meslek Hastalığı Tazminatı")*($AB$54)
+COUNTIF(AG46,"Yok")*(0)
+COUNTIF(AG46,"Askerlik Yardımı")*($AB$40)
+COUNTIF(AG46,"Cenaze Yardımı (Anne-Baba)")*($AB$41)
+COUNTIF(AG46,"Cenaze Yardımı (Eş-Çocuk)")*($AB$42)
+COUNTIF(AG46,"Cenaze Yardımı (İşçi-İş Kazası Sonucu)")*($AB$43)
+COUNTIF(AG46,"Cenaze Yardımı (İşçi-Tabii Sebepler Sonucu)")*($AB$44)
+COUNTIF(AG46,"Doğal Afet Yardımı")*($AB$45)
+COUNTIF(AG46,"Eğitim Yardımı (Çocuk-İlköğretim)")*($AB$46)
+COUNTIF(AG46,"Eğitim Yardımı (Çocuk-Ortaöğretim)")*($AB$47)
+COUNTIF(AG46,"Eğitim Yardımı (Çocuk-Lise)")*($AB$48)
+COUNTIF(AG46,"Eğitim Yardımı (Çocuk-Yükseköğretim)")*($AB$49)
+COUNTIF(AG46,"Eğitim Yardımı (İşçi-Lise)")*($AB$50)
+COUNTIF(AG46,"Eğitim Yardımı (İşçi-Yükseköğretim)")*($AB$51)
+COUNTIF(AG46,"Evlilik Yardımı")*($AB$52)
+COUNTIF(AG46,"Gıda Yardımı")*($AB$53)
+COUNTIF(AG46,"İş Kazası veya Meslek Hastalığı Tazminatı")*($AB$54)</f>
        <v>0</v>
      </c>
      <c r="AK46" s="44" t="s">
        <v>1</v>
      </c>
      <c r="AL46" s="32">
        <f>COUNTIF(AK46,"Var")*(E18*0.9*-1)</f>
        <v>0</v>
      </c>
      <c r="AM46" s="32">
        <f t="shared" si="67"/>
        <v>0</v>
      </c>
      <c r="AN46" s="51">
        <f ca="1">(AK76*L18+AO46)*-1</f>
        <v>0</v>
      </c>
      <c r="AO46" s="51">
        <f>(AO18+AQ18+AS18+AG32+AI32-AK4)*(L18*-1)</f>
        <v>0</v>
      </c>
      <c r="AP46" s="51">
        <f t="shared" ca="1" si="68"/>
        <v>0</v>
      </c>
      <c r="BD46" s="31">
        <v>44</v>
      </c>
      <c r="BE46" s="35">
        <v>22</v>
      </c>
      <c r="BF46" s="36">
        <v>0.46</v>
      </c>
    </row>
    <row r="47" spans="24:58" ht="39.950000000000003" hidden="1" customHeight="1" x14ac:dyDescent="0.25">
      <c r="AA47" s="44" t="s">
        <v>52</v>
      </c>
      <c r="AB47" s="51">
        <v>2892</v>
      </c>
      <c r="AE47" s="44" t="s">
        <v>1</v>
      </c>
      <c r="AF47" s="44" t="s">
        <v>1</v>
      </c>
      <c r="AG47" s="44" t="s">
        <v>1</v>
      </c>
      <c r="AH47" s="51">
        <f ca="1">COUNTIF(AE47,"Yok")*(0)
+COUNTIF(AE47,"Askerlik Yardımı")*($AB$40/AY77)
+COUNTIF(AE47,"Cenaze Yardımı (Anne-Baba)")*($AB$41+$AB$41*0.00759)
+COUNTIF(AE47,"Cenaze Yardımı (Eş-Çocuk)")*($AB$42+$AB$42*0.00759)
+COUNTIF(AE47,"Cenaze Yardımı (İşçi-İş Kazası Sonucu)")*($AB$43+$AB$43*0.00759)
+COUNTIF(AE47,"Cenaze Yardımı (İşçi-Tabii Sebepler Sonucu)")*($AB$44+$AB$44*0.00759)
+COUNTIF(AE47,"Doğal Afet Yardımı")*($AB$45+$AB$45*0.00759)
+COUNTIF(AE47,"Eğitim Yardımı (Çocuk-İlköğretim)")*($AB$46/AY77)
+COUNTIF(AE47,"Eğitim Yardımı (Çocuk-Ortaöğretim)")*($AB$47/AY77)
+COUNTIF(AE47,"Eğitim Yardımı (Çocuk-Lise)")*($AB$48/AY77)
+COUNTIF(AE47,"Eğitim Yardımı (Çocuk-Yükseköğretim)")*($AB$49/AY77)
+COUNTIF(AE47,"Eğitim Yardımı (İşçi-Lise)")*($AB$50/AY77)
+COUNTIF(AE47,"Eğitim Yardımı (İşçi-Yükseköğretim)")*($AB$51/AY77)
+COUNTIF(AE47,"Evlilik Yardımı")*($AB$52+$AB$52*0.00759)
+COUNTIF(AE47,"Gıda Yardımı")*($AB$53/AY77)
+COUNTIF(AE47,"İş Kazası veya Meslek Hastalığı Tazminatı")*($AB$54+$AB$54*0.00759)
+COUNTIF(AF47,"Yok")*(0)
+COUNTIF(AF47,"Askerlik Yardımı")*($AB$40/AY77)
+COUNTIF(AF47,"Cenaze Yardımı (Anne-Baba)")*($AB$41+$AB$41*0.00759)
+COUNTIF(AF47,"Cenaze Yardımı (Eş-Çocuk)")*($AB$42+$AB$42*0.00759)
+COUNTIF(AF47,"Cenaze Yardımı (İşçi-İş Kazası Sonucu)")*($AB$43+$AB$43*0.00759)
+COUNTIF(AF47,"Cenaze Yardımı (İşçi-Tabii Sebepler Sonucu)")*($AB$44+$AB$44*0.00759)
+COUNTIF(AF47,"Doğal Afet Yardımı")*($AB$45+$AB$45*0.00759)
+COUNTIF(AF47,"Eğitim Yardımı (Çocuk-İlköğretim)")*($AB$46/AY77)
+COUNTIF(AF47,"Eğitim Yardımı (Çocuk-Ortaöğretim)")*($AB$47/AY77)
+COUNTIF(AF47,"Eğitim Yardımı (Çocuk-Lise)")*($AB$48/AY77)
+COUNTIF(AF47,"Eğitim Yardımı (Çocuk-Yükseköğretim)")*($AB$49/AY77)
+COUNTIF(AF47,"Eğitim Yardımı (İşçi-Lise)")*($AB$50/AY77)
+COUNTIF(AF47,"Eğitim Yardımı (İşçi-Yükseköğretim)")*($AB$51/AY77)
+COUNTIF(AF47,"Evlilik Yardımı")*($AB$52+$AB$52*0.00759)
+COUNTIF(AF47,"Gıda Yardımı")*($AB$53/AY77)
+COUNTIF(AF47,"İş Kazası veya Meslek Hastalığı Tazminatı")*($AB$54+$AB$54*0.00759)
+COUNTIF(AG47,"Yok")*(0)
+COUNTIF(AG47,"Askerlik Yardımı")*($AB$40/AY77)
+COUNTIF(AG47,"Cenaze Yardımı (Anne-Baba)")*($AB$41+$AB$41*0.00759)
+COUNTIF(AG47,"Cenaze Yardımı (Eş-Çocuk)")*($AB$42+$AB$42*0.00759)
+COUNTIF(AG47,"Cenaze Yardımı (İşçi-İş Kazası Sonucu)")*($AB$43+$AB$43*0.00759)
+COUNTIF(AG47,"Cenaze Yardımı (İşçi-Tabii Sebepler Sonucu)")*($AB$44+$AB$44*0.00759)
+COUNTIF(AG47,"Doğal Afet Yardımı")*($AB$45+$AB$45*0.00759)
+COUNTIF(AG47,"Eğitim Yardımı (Çocuk-İlköğretim)")*($AB$46/AY77)
+COUNTIF(AG47,"Eğitim Yardımı (Çocuk-Ortaöğretim)")*($AB$47/AY77)
+COUNTIF(AG47,"Eğitim Yardımı (Çocuk-Lise)")*($AB$48/AY77)
+COUNTIF(AG47,"Eğitim Yardımı (Çocuk-Yükseköğretim)")*($AB$49/AY77)
+COUNTIF(AG47,"Eğitim Yardımı (İşçi-Lise)")*($AB$50/AY77)
+COUNTIF(AG47,"Eğitim Yardımı (İşçi-Yükseköğretim)")*($AB$51/AY77)
+COUNTIF(AG47,"Evlilik Yardımı")*($AB$52+$AB$52*0.00759)
+COUNTIF(AG47,"Gıda Yardımı")*($AB$53/AY77)
+COUNTIF(AG47,"İş Kazası veya Meslek Hastalığı Tazminatı")*($AB$54+$AB$54*0.00759)</f>
        <v>0</v>
      </c>
      <c r="AI47" s="51">
        <f>COUNTIF(AE47,"Yok")*(0)
+COUNTIF(AE47,"Askerlik Yardımı")*(0)
+COUNTIF(AE47,"Cenaze Yardımı (Anne-Baba)")*($AB$41+$AB$41*0.00759)
+COUNTIF(AE47,"Cenaze Yardımı (Eş-Çocuk)")*($AB$42+$AB$42*0.00759)
+COUNTIF(AE47,"Cenaze Yardımı (İşçi-İş Kazası Sonucu)")*($AB$43+$AB$43*0.00759)
+COUNTIF(AE47,"Cenaze Yardımı (İşçi-Tabii Sebepler Sonucu)")*($AB$44+$AB$44*0.00759)
+COUNTIF(AE47,"Doğal Afet Yardımı")*($AB$45+$AB$45*0.00759)
+COUNTIF(AE47,"Eğitim Yardımı (Çocuk-İlköğretim)")*(0)
+COUNTIF(AE47,"Eğitim Yardımı (Çocuk-Ortaöğretim)")*(0)
+COUNTIF(AE47,"Eğitim Yardımı (Çocuk-Lise)")*(0)
+COUNTIF(AE47,"Eğitim Yardımı (Çocuk-Yükseköğretim)")*(0)
+COUNTIF(AE47,"Eğitim Yardımı (İşçi-Lise)")*(0)
+COUNTIF(AE47,"Eğitim Yardımı (İşçi-Yükseköğretim)")*(0)
+COUNTIF(AE47,"Evlilik Yardımı")*($AB$52+$AB$52*0.00759)
+COUNTIF(AE47,"Gıda Yardımı")*(0)
+COUNTIF(AE47,"İş Kazası veya Meslek Hastalığı Tazminatı")*($AB$54+$AB$54*0.00759)
+COUNTIF(AF47,"Yok")*(0)
+COUNTIF(AF47,"Askerlik Yardımı")*(0)
+COUNTIF(AF47,"Cenaze Yardımı (Anne-Baba)")*($AB$41+$AB$41*0.00759)
+COUNTIF(AF47,"Cenaze Yardımı (Eş-Çocuk)")*($AB$42+$AB$42*0.00759)
+COUNTIF(AF47,"Cenaze Yardımı (İşçi-İş Kazası Sonucu)")*($AB$43+$AB$43*0.00759)
+COUNTIF(AF47,"Cenaze Yardımı (İşçi-Tabii Sebepler Sonucu)")*($AB$44+$AB$44*0.00759)
+COUNTIF(AF47,"Doğal Afet Yardımı")*($AB$45+$AB$45*0.00759)
+COUNTIF(AF47,"Eğitim Yardımı (Çocuk-İlköğretim)")*(0)
+COUNTIF(AF47,"Eğitim Yardımı (Çocuk-Ortaöğretim)")*(0)
+COUNTIF(AF47,"Eğitim Yardımı (Çocuk-Lise)")*(0)
+COUNTIF(AF47,"Eğitim Yardımı (Çocuk-Yükseköğretim)")*(0)
+COUNTIF(AF47,"Eğitim Yardımı (İşçi-Lise)")*(0)
+COUNTIF(AF47,"Eğitim Yardımı (İşçi-Yükseköğretim)")*(0)
+COUNTIF(AF47,"Evlilik Yardımı")*($AB$52+$AB$52*0.00759)
+COUNTIF(AF47,"Gıda Yardımı")*(0)
+COUNTIF(AF47,"İş Kazası veya Meslek Hastalığı Tazminatı")*($AB$54+$AB$54*0.00759)
+COUNTIF(AG47,"Yok")*(0)
+COUNTIF(AG47,"Askerlik Yardımı")*(0)
+COUNTIF(AG47,"Cenaze Yardımı (Anne-Baba)")*($AB$41+$AB$41*0.00759)
+COUNTIF(AG47,"Cenaze Yardımı (Eş-Çocuk)")*($AB$42+$AB$42*0.00759)
+COUNTIF(AG47,"Cenaze Yardımı (İşçi-İş Kazası Sonucu)")*($AB$43+$AB$43*0.00759)
+COUNTIF(AG47,"Cenaze Yardımı (İşçi-Tabii Sebepler Sonucu)")*($AB$44+$AB$44*0.00759)
+COUNTIF(AG47,"Doğal Afet Yardımı")*($AB$45+$AB$45*0.00759)
+COUNTIF(AG47,"Eğitim Yardımı (Çocuk-İlköğretim)")*(0)
+COUNTIF(AG47,"Eğitim Yardımı (Çocuk-Ortaöğretim)")*(0)
+COUNTIF(AG47,"Eğitim Yardımı (Çocuk-Lise)")*(0)
+COUNTIF(AG47,"Eğitim Yardımı (Çocuk-Yükseköğretim)")*(0)
+COUNTIF(AG47,"Eğitim Yardımı (İşçi-Lise)")*(0)
+COUNTIF(AG47,"Eğitim Yardımı (İşçi-Yükseköğretim)")*(0)
+COUNTIF(AG47,"Evlilik Yardımı")*($AB$52+$AB$52*0.00759)
+COUNTIF(AG47,"Gıda Yardımı")*(0)
+COUNTIF(AG47,"İş Kazası veya Meslek Hastalığı Tazminatı")*($AB$54+$AB$54*0.00759)</f>
        <v>0</v>
      </c>
      <c r="AJ47" s="51">
        <f>COUNTIF(AE47,"Yok")*(0)
+COUNTIF(AE47,"Askerlik Yardımı")*($AB$40)
+COUNTIF(AE47,"Cenaze Yardımı (Anne-Baba)")*($AB$41)
+COUNTIF(AE47,"Cenaze Yardımı (Eş-Çocuk)")*($AB$42)
+COUNTIF(AE47,"Cenaze Yardımı (İşçi-İş Kazası Sonucu)")*($AB$43)
+COUNTIF(AE47,"Cenaze Yardımı (İşçi-Tabii Sebepler Sonucu)")*($AB$44)
+COUNTIF(AE47,"Doğal Afet Yardımı")*($AB$45)
+COUNTIF(AE47,"Eğitim Yardımı (Çocuk-İlköğretim)")*($AB$46)
+COUNTIF(AE47,"Eğitim Yardımı (Çocuk-Ortaöğretim)")*($AB$47)
+COUNTIF(AE47,"Eğitim Yardımı (Çocuk-Lise)")*($AB$48)
+COUNTIF(AE47,"Eğitim Yardımı (Çocuk-Yükseköğretim)")*($AB$49)
+COUNTIF(AE47,"Eğitim Yardımı (İşçi-Lise)")*($AB$50)
+COUNTIF(AE47,"Eğitim Yardımı (İşçi-Yükseköğretim)")*($AB$51)
+COUNTIF(AE47,"Evlilik Yardımı")*($AB$52)
+COUNTIF(AE47,"Gıda Yardımı")*($AB$53)
+COUNTIF(AE47,"İş Kazası veya Meslek Hastalığı Tazminatı")*($AB$54)
+COUNTIF(AF47,"Yok")*(0)
+COUNTIF(AF47,"Askerlik Yardımı")*($AB$40)
+COUNTIF(AF47,"Cenaze Yardımı (Anne-Baba)")*($AB$41)
+COUNTIF(AF47,"Cenaze Yardımı (Eş-Çocuk)")*($AB$42)
+COUNTIF(AF47,"Cenaze Yardımı (İşçi-İş Kazası Sonucu)")*($AB$43)
+COUNTIF(AF47,"Cenaze Yardımı (İşçi-Tabii Sebepler Sonucu)")*($AB$44)
+COUNTIF(AF47,"Doğal Afet Yardımı")*($AB$45)
+COUNTIF(AF47,"Eğitim Yardımı (Çocuk-İlköğretim)")*($AB$46)
+COUNTIF(AF47,"Eğitim Yardımı (Çocuk-Ortaöğretim)")*($AB$47)
+COUNTIF(AF47,"Eğitim Yardımı (Çocuk-Lise)")*($AB$48)
+COUNTIF(AF47,"Eğitim Yardımı (Çocuk-Yükseköğretim)")*($AB$49)
+COUNTIF(AF47,"Eğitim Yardımı (İşçi-Lise)")*($AB$50)
+COUNTIF(AF47,"Eğitim Yardımı (İşçi-Yükseköğretim)")*($AB$51)
+COUNTIF(AF47,"Evlilik Yardımı")*($AB$52)
+COUNTIF(AF47,"Gıda Yardımı")*($AB$53)
+COUNTIF(AF47,"İş Kazası veya Meslek Hastalığı Tazminatı")*($AB$54)
+COUNTIF(AG47,"Yok")*(0)
+COUNTIF(AG47,"Askerlik Yardımı")*($AB$40)
+COUNTIF(AG47,"Cenaze Yardımı (Anne-Baba)")*($AB$41)
+COUNTIF(AG47,"Cenaze Yardımı (Eş-Çocuk)")*($AB$42)
+COUNTIF(AG47,"Cenaze Yardımı (İşçi-İş Kazası Sonucu)")*($AB$43)
+COUNTIF(AG47,"Cenaze Yardımı (İşçi-Tabii Sebepler Sonucu)")*($AB$44)
+COUNTIF(AG47,"Doğal Afet Yardımı")*($AB$45)
+COUNTIF(AG47,"Eğitim Yardımı (Çocuk-İlköğretim)")*($AB$46)
+COUNTIF(AG47,"Eğitim Yardımı (Çocuk-Ortaöğretim)")*($AB$47)
+COUNTIF(AG47,"Eğitim Yardımı (Çocuk-Lise)")*($AB$48)
+COUNTIF(AG47,"Eğitim Yardımı (Çocuk-Yükseköğretim)")*($AB$49)
+COUNTIF(AG47,"Eğitim Yardımı (İşçi-Lise)")*($AB$50)
+COUNTIF(AG47,"Eğitim Yardımı (İşçi-Yükseköğretim)")*($AB$51)
+COUNTIF(AG47,"Evlilik Yardımı")*($AB$52)
+COUNTIF(AG47,"Gıda Yardımı")*($AB$53)
+COUNTIF(AG47,"İş Kazası veya Meslek Hastalığı Tazminatı")*($AB$54)</f>
        <v>0</v>
      </c>
      <c r="AK47" s="44" t="s">
        <v>1</v>
      </c>
      <c r="AL47" s="32">
        <f>COUNTIF(AK47,"Var")*(E19*0.9*-1)</f>
        <v>0</v>
      </c>
      <c r="AM47" s="32">
        <f t="shared" si="67"/>
        <v>0</v>
      </c>
      <c r="AN47" s="51">
        <f ca="1">(AK77*L19+AO47)*-1</f>
        <v>0</v>
      </c>
      <c r="AO47" s="51">
        <f>(AO19+AQ19+AS19+AG33+AI33-AK5)*(L19*-1)</f>
        <v>0</v>
      </c>
      <c r="AP47" s="51">
        <f t="shared" ca="1" si="68"/>
        <v>0</v>
      </c>
      <c r="BD47" s="31">
        <v>45</v>
      </c>
      <c r="BE47" s="35">
        <v>22.5</v>
      </c>
      <c r="BF47" s="36">
        <v>0.47</v>
      </c>
    </row>
    <row r="48" spans="24:58" ht="39.950000000000003" hidden="1" customHeight="1" x14ac:dyDescent="0.25">
      <c r="AA48" s="44" t="s">
        <v>53</v>
      </c>
      <c r="AB48" s="51">
        <v>3623</v>
      </c>
      <c r="AE48" s="44" t="s">
        <v>1</v>
      </c>
      <c r="AF48" s="44" t="s">
        <v>1</v>
      </c>
      <c r="AG48" s="44" t="s">
        <v>1</v>
      </c>
      <c r="AH48" s="51">
        <f ca="1">COUNTIF(AE48,"Yok")*(0)
+COUNTIF(AE48,"Askerlik Yardımı")*($AB$40/AY78)
+COUNTIF(AE48,"Cenaze Yardımı (Anne-Baba)")*($AB$41+$AB$41*0.00759)
+COUNTIF(AE48,"Cenaze Yardımı (Eş-Çocuk)")*($AB$42+$AB$42*0.00759)
+COUNTIF(AE48,"Cenaze Yardımı (İşçi-İş Kazası Sonucu)")*($AB$43+$AB$43*0.00759)
+COUNTIF(AE48,"Cenaze Yardımı (İşçi-Tabii Sebepler Sonucu)")*($AB$44+$AB$44*0.00759)
+COUNTIF(AE48,"Doğal Afet Yardımı")*($AB$45+$AB$45*0.00759)
+COUNTIF(AE48,"Eğitim Yardımı (Çocuk-İlköğretim)")*($AB$46/AY78)
+COUNTIF(AE48,"Eğitim Yardımı (Çocuk-Ortaöğretim)")*($AB$47/AY78)
+COUNTIF(AE48,"Eğitim Yardımı (Çocuk-Lise)")*($AB$48/AY78)
+COUNTIF(AE48,"Eğitim Yardımı (Çocuk-Yükseköğretim)")*($AB$49/AY78)
+COUNTIF(AE48,"Eğitim Yardımı (İşçi-Lise)")*($AB$50/AY78)
+COUNTIF(AE48,"Eğitim Yardımı (İşçi-Yükseköğretim)")*($AB$51/AY78)
+COUNTIF(AE48,"Evlilik Yardımı")*($AB$52+$AB$52*0.00759)
+COUNTIF(AE48,"Gıda Yardımı")*($AB$53/AY78)
+COUNTIF(AE48,"İş Kazası veya Meslek Hastalığı Tazminatı")*($AB$54+$AB$54*0.00759)
+COUNTIF(AF48,"Yok")*(0)
+COUNTIF(AF48,"Askerlik Yardımı")*($AB$40/AY78)
+COUNTIF(AF48,"Cenaze Yardımı (Anne-Baba)")*($AB$41+$AB$41*0.00759)
+COUNTIF(AF48,"Cenaze Yardımı (Eş-Çocuk)")*($AB$42+$AB$42*0.00759)
+COUNTIF(AF48,"Cenaze Yardımı (İşçi-İş Kazası Sonucu)")*($AB$43+$AB$43*0.00759)
+COUNTIF(AF48,"Cenaze Yardımı (İşçi-Tabii Sebepler Sonucu)")*($AB$44+$AB$44*0.00759)
+COUNTIF(AF48,"Doğal Afet Yardımı")*($AB$45+$AB$45*0.00759)
+COUNTIF(AF48,"Eğitim Yardımı (Çocuk-İlköğretim)")*($AB$46/AY78)
+COUNTIF(AF48,"Eğitim Yardımı (Çocuk-Ortaöğretim)")*($AB$47/AY78)
+COUNTIF(AF48,"Eğitim Yardımı (Çocuk-Lise)")*($AB$48/AY78)
+COUNTIF(AF48,"Eğitim Yardımı (Çocuk-Yükseköğretim)")*($AB$49/AY78)
+COUNTIF(AF48,"Eğitim Yardımı (İşçi-Lise)")*($AB$50/AY78)
+COUNTIF(AF48,"Eğitim Yardımı (İşçi-Yükseköğretim)")*($AB$51/AY78)
+COUNTIF(AF48,"Evlilik Yardımı")*($AB$52+$AB$52*0.00759)
+COUNTIF(AF48,"Gıda Yardımı")*($AB$53/AY78)
+COUNTIF(AF48,"İş Kazası veya Meslek Hastalığı Tazminatı")*($AB$54+$AB$54*0.00759)
+COUNTIF(AG48,"Yok")*(0)
+COUNTIF(AG48,"Askerlik Yardımı")*($AB$40/AY78)
+COUNTIF(AG48,"Cenaze Yardımı (Anne-Baba)")*($AB$41+$AB$41*0.00759)
+COUNTIF(AG48,"Cenaze Yardımı (Eş-Çocuk)")*($AB$42+$AB$42*0.00759)
+COUNTIF(AG48,"Cenaze Yardımı (İşçi-İş Kazası Sonucu)")*($AB$43+$AB$43*0.00759)
+COUNTIF(AG48,"Cenaze Yardımı (İşçi-Tabii Sebepler Sonucu)")*($AB$44+$AB$44*0.00759)
+COUNTIF(AG48,"Doğal Afet Yardımı")*($AB$45+$AB$45*0.00759)
+COUNTIF(AG48,"Eğitim Yardımı (Çocuk-İlköğretim)")*($AB$46/AY78)
+COUNTIF(AG48,"Eğitim Yardımı (Çocuk-Ortaöğretim)")*($AB$47/AY78)
+COUNTIF(AG48,"Eğitim Yardımı (Çocuk-Lise)")*($AB$48/AY78)
+COUNTIF(AG48,"Eğitim Yardımı (Çocuk-Yükseköğretim)")*($AB$49/AY78)
+COUNTIF(AG48,"Eğitim Yardımı (İşçi-Lise)")*($AB$50/AY78)
+COUNTIF(AG48,"Eğitim Yardımı (İşçi-Yükseköğretim)")*($AB$51/AY78)
+COUNTIF(AG48,"Evlilik Yardımı")*($AB$52+$AB$52*0.00759)
+COUNTIF(AG48,"Gıda Yardımı")*($AB$53/AY78)
+COUNTIF(AG48,"İş Kazası veya Meslek Hastalığı Tazminatı")*($AB$54+$AB$54*0.00759)</f>
        <v>0</v>
      </c>
      <c r="AI48" s="51">
        <f>COUNTIF(AE48,"Yok")*(0)
+COUNTIF(AE48,"Askerlik Yardımı")*(0)
+COUNTIF(AE48,"Cenaze Yardımı (Anne-Baba)")*($AB$41+$AB$41*0.00759)
+COUNTIF(AE48,"Cenaze Yardımı (Eş-Çocuk)")*($AB$42+$AB$42*0.00759)
+COUNTIF(AE48,"Cenaze Yardımı (İşçi-İş Kazası Sonucu)")*($AB$43+$AB$43*0.00759)
+COUNTIF(AE48,"Cenaze Yardımı (İşçi-Tabii Sebepler Sonucu)")*($AB$44+$AB$44*0.00759)
+COUNTIF(AE48,"Doğal Afet Yardımı")*($AB$45+$AB$45*0.00759)
+COUNTIF(AE48,"Eğitim Yardımı (Çocuk-İlköğretim)")*(0)
+COUNTIF(AE48,"Eğitim Yardımı (Çocuk-Ortaöğretim)")*(0)
+COUNTIF(AE48,"Eğitim Yardımı (Çocuk-Lise)")*(0)
+COUNTIF(AE48,"Eğitim Yardımı (Çocuk-Yükseköğretim)")*(0)
+COUNTIF(AE48,"Eğitim Yardımı (İşçi-Lise)")*(0)
+COUNTIF(AE48,"Eğitim Yardımı (İşçi-Yükseköğretim)")*(0)
+COUNTIF(AE48,"Evlilik Yardımı")*($AB$52+$AB$52*0.00759)
+COUNTIF(AE48,"Gıda Yardımı")*(0)
+COUNTIF(AE48,"İş Kazası veya Meslek Hastalığı Tazminatı")*($AB$54+$AB$54*0.00759)
+COUNTIF(AF48,"Yok")*(0)
+COUNTIF(AF48,"Askerlik Yardımı")*(0)
+COUNTIF(AF48,"Cenaze Yardımı (Anne-Baba)")*($AB$41+$AB$41*0.00759)
+COUNTIF(AF48,"Cenaze Yardımı (Eş-Çocuk)")*($AB$42+$AB$42*0.00759)
+COUNTIF(AF48,"Cenaze Yardımı (İşçi-İş Kazası Sonucu)")*($AB$43+$AB$43*0.00759)
+COUNTIF(AF48,"Cenaze Yardımı (İşçi-Tabii Sebepler Sonucu)")*($AB$44+$AB$44*0.00759)
+COUNTIF(AF48,"Doğal Afet Yardımı")*($AB$45+$AB$45*0.00759)
+COUNTIF(AF48,"Eğitim Yardımı (Çocuk-İlköğretim)")*(0)
+COUNTIF(AF48,"Eğitim Yardımı (Çocuk-Ortaöğretim)")*(0)
+COUNTIF(AF48,"Eğitim Yardımı (Çocuk-Lise)")*(0)
+COUNTIF(AF48,"Eğitim Yardımı (Çocuk-Yükseköğretim)")*(0)
+COUNTIF(AF48,"Eğitim Yardımı (İşçi-Lise)")*(0)
+COUNTIF(AF48,"Eğitim Yardımı (İşçi-Yükseköğretim)")*(0)
+COUNTIF(AF48,"Evlilik Yardımı")*($AB$52+$AB$52*0.00759)
+COUNTIF(AF48,"Gıda Yardımı")*(0)
+COUNTIF(AF48,"İş Kazası veya Meslek Hastalığı Tazminatı")*($AB$54+$AB$54*0.00759)
+COUNTIF(AG48,"Yok")*(0)
+COUNTIF(AG48,"Askerlik Yardımı")*(0)
+COUNTIF(AG48,"Cenaze Yardımı (Anne-Baba)")*($AB$41+$AB$41*0.00759)
+COUNTIF(AG48,"Cenaze Yardımı (Eş-Çocuk)")*($AB$42+$AB$42*0.00759)
+COUNTIF(AG48,"Cenaze Yardımı (İşçi-İş Kazası Sonucu)")*($AB$43+$AB$43*0.00759)
+COUNTIF(AG48,"Cenaze Yardımı (İşçi-Tabii Sebepler Sonucu)")*($AB$44+$AB$44*0.00759)
+COUNTIF(AG48,"Doğal Afet Yardımı")*($AB$45+$AB$45*0.00759)
+COUNTIF(AG48,"Eğitim Yardımı (Çocuk-İlköğretim)")*(0)
+COUNTIF(AG48,"Eğitim Yardımı (Çocuk-Ortaöğretim)")*(0)
+COUNTIF(AG48,"Eğitim Yardımı (Çocuk-Lise)")*(0)
+COUNTIF(AG48,"Eğitim Yardımı (Çocuk-Yükseköğretim)")*(0)
+COUNTIF(AG48,"Eğitim Yardımı (İşçi-Lise)")*(0)
+COUNTIF(AG48,"Eğitim Yardımı (İşçi-Yükseköğretim)")*(0)
+COUNTIF(AG48,"Evlilik Yardımı")*($AB$52+$AB$52*0.00759)
+COUNTIF(AG48,"Gıda Yardımı")*(0)
+COUNTIF(AG48,"İş Kazası veya Meslek Hastalığı Tazminatı")*($AB$54+$AB$54*0.00759)</f>
        <v>0</v>
      </c>
      <c r="AJ48" s="51">
        <f>COUNTIF(AE48,"Yok")*(0)
+COUNTIF(AE48,"Askerlik Yardımı")*($AB$40)
+COUNTIF(AE48,"Cenaze Yardımı (Anne-Baba)")*($AB$41)
+COUNTIF(AE48,"Cenaze Yardımı (Eş-Çocuk)")*($AB$42)
+COUNTIF(AE48,"Cenaze Yardımı (İşçi-İş Kazası Sonucu)")*($AB$43)
+COUNTIF(AE48,"Cenaze Yardımı (İşçi-Tabii Sebepler Sonucu)")*($AB$44)
+COUNTIF(AE48,"Doğal Afet Yardımı")*($AB$45)
+COUNTIF(AE48,"Eğitim Yardımı (Çocuk-İlköğretim)")*($AB$46)
+COUNTIF(AE48,"Eğitim Yardımı (Çocuk-Ortaöğretim)")*($AB$47)
+COUNTIF(AE48,"Eğitim Yardımı (Çocuk-Lise)")*($AB$48)
+COUNTIF(AE48,"Eğitim Yardımı (Çocuk-Yükseköğretim)")*($AB$49)
+COUNTIF(AE48,"Eğitim Yardımı (İşçi-Lise)")*($AB$50)
+COUNTIF(AE48,"Eğitim Yardımı (İşçi-Yükseköğretim)")*($AB$51)
+COUNTIF(AE48,"Evlilik Yardımı")*($AB$52)
+COUNTIF(AE48,"Gıda Yardımı")*($AB$53)
+COUNTIF(AE48,"İş Kazası veya Meslek Hastalığı Tazminatı")*($AB$54)
+COUNTIF(AF48,"Yok")*(0)
+COUNTIF(AF48,"Askerlik Yardımı")*($AB$40)
+COUNTIF(AF48,"Cenaze Yardımı (Anne-Baba)")*($AB$41)
+COUNTIF(AF48,"Cenaze Yardımı (Eş-Çocuk)")*($AB$42)
+COUNTIF(AF48,"Cenaze Yardımı (İşçi-İş Kazası Sonucu)")*($AB$43)
+COUNTIF(AF48,"Cenaze Yardımı (İşçi-Tabii Sebepler Sonucu)")*($AB$44)
+COUNTIF(AF48,"Doğal Afet Yardımı")*($AB$45)
+COUNTIF(AF48,"Eğitim Yardımı (Çocuk-İlköğretim)")*($AB$46)
+COUNTIF(AF48,"Eğitim Yardımı (Çocuk-Ortaöğretim)")*($AB$47)
+COUNTIF(AF48,"Eğitim Yardımı (Çocuk-Lise)")*($AB$48)
+COUNTIF(AF48,"Eğitim Yardımı (Çocuk-Yükseköğretim)")*($AB$49)
+COUNTIF(AF48,"Eğitim Yardımı (İşçi-Lise)")*($AB$50)
+COUNTIF(AF48,"Eğitim Yardımı (İşçi-Yükseköğretim)")*($AB$51)
+COUNTIF(AF48,"Evlilik Yardımı")*($AB$52)
+COUNTIF(AF48,"Gıda Yardımı")*($AB$53)
+COUNTIF(AF48,"İş Kazası veya Meslek Hastalığı Tazminatı")*($AB$54)
+COUNTIF(AG48,"Yok")*(0)
+COUNTIF(AG48,"Askerlik Yardımı")*($AB$40)
+COUNTIF(AG48,"Cenaze Yardımı (Anne-Baba)")*($AB$41)
+COUNTIF(AG48,"Cenaze Yardımı (Eş-Çocuk)")*($AB$42)
+COUNTIF(AG48,"Cenaze Yardımı (İşçi-İş Kazası Sonucu)")*($AB$43)
+COUNTIF(AG48,"Cenaze Yardımı (İşçi-Tabii Sebepler Sonucu)")*($AB$44)
+COUNTIF(AG48,"Doğal Afet Yardımı")*($AB$45)
+COUNTIF(AG48,"Eğitim Yardımı (Çocuk-İlköğretim)")*($AB$46)
+COUNTIF(AG48,"Eğitim Yardımı (Çocuk-Ortaöğretim)")*($AB$47)
+COUNTIF(AG48,"Eğitim Yardımı (Çocuk-Lise)")*($AB$48)
+COUNTIF(AG48,"Eğitim Yardımı (Çocuk-Yükseköğretim)")*($AB$49)
+COUNTIF(AG48,"Eğitim Yardımı (İşçi-Lise)")*($AB$50)
+COUNTIF(AG48,"Eğitim Yardımı (İşçi-Yükseköğretim)")*($AB$51)
+COUNTIF(AG48,"Evlilik Yardımı")*($AB$52)
+COUNTIF(AG48,"Gıda Yardımı")*($AB$53)
+COUNTIF(AG48,"İş Kazası veya Meslek Hastalığı Tazminatı")*($AB$54)</f>
        <v>0</v>
      </c>
      <c r="AK48" s="44" t="s">
        <v>1</v>
      </c>
      <c r="AL48" s="32">
        <f>COUNTIF(AK48,"Var")*(E20*0.9*-1)</f>
        <v>0</v>
      </c>
      <c r="AM48" s="32">
        <f t="shared" si="67"/>
        <v>0</v>
      </c>
      <c r="AN48" s="51">
        <f ca="1">(AK78*L20+AO48)*-1</f>
        <v>0</v>
      </c>
      <c r="AO48" s="51">
        <f>(AO20+AQ20+AS20+AG34+AI34-AK6)*(L20*-1)</f>
        <v>0</v>
      </c>
      <c r="AP48" s="51">
        <f t="shared" ca="1" si="68"/>
        <v>0</v>
      </c>
      <c r="BD48" s="31">
        <v>46</v>
      </c>
      <c r="BE48" s="35">
        <v>23</v>
      </c>
      <c r="BF48" s="36">
        <v>0.48</v>
      </c>
    </row>
    <row r="49" spans="27:58" ht="39.950000000000003" hidden="1" customHeight="1" x14ac:dyDescent="0.25">
      <c r="AA49" s="44" t="s">
        <v>54</v>
      </c>
      <c r="AB49" s="51">
        <v>5422</v>
      </c>
      <c r="AE49" s="44" t="s">
        <v>1</v>
      </c>
      <c r="AF49" s="44" t="s">
        <v>1</v>
      </c>
      <c r="AG49" s="44" t="s">
        <v>1</v>
      </c>
      <c r="AH49" s="51">
        <f ca="1">COUNTIF(AE49,"Yok")*(0)
+COUNTIF(AE49,"Askerlik Yardımı")*($AB$40/AY79)
+COUNTIF(AE49,"Cenaze Yardımı (Anne-Baba)")*($AB$41+$AB$41*0.00759)
+COUNTIF(AE49,"Cenaze Yardımı (Eş-Çocuk)")*($AB$42+$AB$42*0.00759)
+COUNTIF(AE49,"Cenaze Yardımı (İşçi-İş Kazası Sonucu)")*($AB$43+$AB$43*0.00759)
+COUNTIF(AE49,"Cenaze Yardımı (İşçi-Tabii Sebepler Sonucu)")*($AB$44+$AB$44*0.00759)
+COUNTIF(AE49,"Doğal Afet Yardımı")*($AB$45+$AB$45*0.00759)
+COUNTIF(AE49,"Eğitim Yardımı (Çocuk-İlköğretim)")*($AB$46/AY79)
+COUNTIF(AE49,"Eğitim Yardımı (Çocuk-Ortaöğretim)")*($AB$47/AY79)
+COUNTIF(AE49,"Eğitim Yardımı (Çocuk-Lise)")*($AB$48/AY79)
+COUNTIF(AE49,"Eğitim Yardımı (Çocuk-Yükseköğretim)")*($AB$49/AY79)
+COUNTIF(AE49,"Eğitim Yardımı (İşçi-Lise)")*($AB$50/AY79)
+COUNTIF(AE49,"Eğitim Yardımı (İşçi-Yükseköğretim)")*($AB$51/AY79)
+COUNTIF(AE49,"Evlilik Yardımı")*($AB$52+$AB$52*0.00759)
+COUNTIF(AE49,"Gıda Yardımı")*($AB$53/AY79)
+COUNTIF(AE49,"İş Kazası veya Meslek Hastalığı Tazminatı")*($AB$54+$AB$54*0.00759)
+COUNTIF(AF49,"Yok")*(0)
+COUNTIF(AF49,"Askerlik Yardımı")*($AB$40/AY79)
+COUNTIF(AF49,"Cenaze Yardımı (Anne-Baba)")*($AB$41+$AB$41*0.00759)
+COUNTIF(AF49,"Cenaze Yardımı (Eş-Çocuk)")*($AB$42+$AB$42*0.00759)
+COUNTIF(AF49,"Cenaze Yardımı (İşçi-İş Kazası Sonucu)")*($AB$43+$AB$43*0.00759)
+COUNTIF(AF49,"Cenaze Yardımı (İşçi-Tabii Sebepler Sonucu)")*($AB$44+$AB$44*0.00759)
+COUNTIF(AF49,"Doğal Afet Yardımı")*($AB$45+$AB$45*0.00759)
+COUNTIF(AF49,"Eğitim Yardımı (Çocuk-İlköğretim)")*($AB$46/AY79)
+COUNTIF(AF49,"Eğitim Yardımı (Çocuk-Ortaöğretim)")*($AB$47/AY79)
+COUNTIF(AF49,"Eğitim Yardımı (Çocuk-Lise)")*($AB$48/AY79)
+COUNTIF(AF49,"Eğitim Yardımı (Çocuk-Yükseköğretim)")*($AB$49/AY79)
+COUNTIF(AF49,"Eğitim Yardımı (İşçi-Lise)")*($AB$50/AY79)
+COUNTIF(AF49,"Eğitim Yardımı (İşçi-Yükseköğretim)")*($AB$51/AY79)
+COUNTIF(AF49,"Evlilik Yardımı")*($AB$52+$AB$52*0.00759)
+COUNTIF(AF49,"Gıda Yardımı")*($AB$53/AY79)
+COUNTIF(AF49,"İş Kazası veya Meslek Hastalığı Tazminatı")*($AB$54+$AB$54*0.00759)
+COUNTIF(AG49,"Yok")*(0)
+COUNTIF(AG49,"Askerlik Yardımı")*($AB$40/AY79)
+COUNTIF(AG49,"Cenaze Yardımı (Anne-Baba)")*($AB$41+$AB$41*0.00759)
+COUNTIF(AG49,"Cenaze Yardımı (Eş-Çocuk)")*($AB$42+$AB$42*0.00759)
+COUNTIF(AG49,"Cenaze Yardımı (İşçi-İş Kazası Sonucu)")*($AB$43+$AB$43*0.00759)
+COUNTIF(AG49,"Cenaze Yardımı (İşçi-Tabii Sebepler Sonucu)")*($AB$44+$AB$44*0.00759)
+COUNTIF(AG49,"Doğal Afet Yardımı")*($AB$45+$AB$45*0.00759)
+COUNTIF(AG49,"Eğitim Yardımı (Çocuk-İlköğretim)")*($AB$46/AY79)
+COUNTIF(AG49,"Eğitim Yardımı (Çocuk-Ortaöğretim)")*($AB$47/AY79)
+COUNTIF(AG49,"Eğitim Yardımı (Çocuk-Lise)")*($AB$48/AY79)
+COUNTIF(AG49,"Eğitim Yardımı (Çocuk-Yükseköğretim)")*($AB$49/AY79)
+COUNTIF(AG49,"Eğitim Yardımı (İşçi-Lise)")*($AB$50/AY79)
+COUNTIF(AG49,"Eğitim Yardımı (İşçi-Yükseköğretim)")*($AB$51/AY79)
+COUNTIF(AG49,"Evlilik Yardımı")*($AB$52+$AB$52*0.00759)
+COUNTIF(AG49,"Gıda Yardımı")*($AB$53/AY79)
+COUNTIF(AG49,"İş Kazası veya Meslek Hastalığı Tazminatı")*($AB$54+$AB$54*0.00759)</f>
        <v>0</v>
      </c>
      <c r="AI49" s="51">
        <f>COUNTIF(AE49,"Yok")*(0)
+COUNTIF(AE49,"Askerlik Yardımı")*(0)
+COUNTIF(AE49,"Cenaze Yardımı (Anne-Baba)")*($AB$41+$AB$41*0.00759)
+COUNTIF(AE49,"Cenaze Yardımı (Eş-Çocuk)")*($AB$42+$AB$42*0.00759)
+COUNTIF(AE49,"Cenaze Yardımı (İşçi-İş Kazası Sonucu)")*($AB$43+$AB$43*0.00759)
+COUNTIF(AE49,"Cenaze Yardımı (İşçi-Tabii Sebepler Sonucu)")*($AB$44+$AB$44*0.00759)
+COUNTIF(AE49,"Doğal Afet Yardımı")*($AB$45+$AB$45*0.00759)
+COUNTIF(AE49,"Eğitim Yardımı (Çocuk-İlköğretim)")*(0)
+COUNTIF(AE49,"Eğitim Yardımı (Çocuk-Ortaöğretim)")*(0)
+COUNTIF(AE49,"Eğitim Yardımı (Çocuk-Lise)")*(0)
+COUNTIF(AE49,"Eğitim Yardımı (Çocuk-Yükseköğretim)")*(0)
+COUNTIF(AE49,"Eğitim Yardımı (İşçi-Lise)")*(0)
+COUNTIF(AE49,"Eğitim Yardımı (İşçi-Yükseköğretim)")*(0)
+COUNTIF(AE49,"Evlilik Yardımı")*($AB$52+$AB$52*0.00759)
+COUNTIF(AE49,"Gıda Yardımı")*(0)
+COUNTIF(AE49,"İş Kazası veya Meslek Hastalığı Tazminatı")*($AB$54+$AB$54*0.00759)
+COUNTIF(AF49,"Yok")*(0)
+COUNTIF(AF49,"Askerlik Yardımı")*(0)
+COUNTIF(AF49,"Cenaze Yardımı (Anne-Baba)")*($AB$41+$AB$41*0.00759)
+COUNTIF(AF49,"Cenaze Yardımı (Eş-Çocuk)")*($AB$42+$AB$42*0.00759)
+COUNTIF(AF49,"Cenaze Yardımı (İşçi-İş Kazası Sonucu)")*($AB$43+$AB$43*0.00759)
+COUNTIF(AF49,"Cenaze Yardımı (İşçi-Tabii Sebepler Sonucu)")*($AB$44+$AB$44*0.00759)
+COUNTIF(AF49,"Doğal Afet Yardımı")*($AB$45+$AB$45*0.00759)
+COUNTIF(AF49,"Eğitim Yardımı (Çocuk-İlköğretim)")*(0)
+COUNTIF(AF49,"Eğitim Yardımı (Çocuk-Ortaöğretim)")*(0)
+COUNTIF(AF49,"Eğitim Yardımı (Çocuk-Lise)")*(0)
+COUNTIF(AF49,"Eğitim Yardımı (Çocuk-Yükseköğretim)")*(0)
+COUNTIF(AF49,"Eğitim Yardımı (İşçi-Lise)")*(0)
+COUNTIF(AF49,"Eğitim Yardımı (İşçi-Yükseköğretim)")*(0)
+COUNTIF(AF49,"Evlilik Yardımı")*($AB$52+$AB$52*0.00759)
+COUNTIF(AF49,"Gıda Yardımı")*(0)
+COUNTIF(AF49,"İş Kazası veya Meslek Hastalığı Tazminatı")*($AB$54+$AB$54*0.00759)
+COUNTIF(AG49,"Yok")*(0)
+COUNTIF(AG49,"Askerlik Yardımı")*(0)
+COUNTIF(AG49,"Cenaze Yardımı (Anne-Baba)")*($AB$41+$AB$41*0.00759)
+COUNTIF(AG49,"Cenaze Yardımı (Eş-Çocuk)")*($AB$42+$AB$42*0.00759)
+COUNTIF(AG49,"Cenaze Yardımı (İşçi-İş Kazası Sonucu)")*($AB$43+$AB$43*0.00759)
+COUNTIF(AG49,"Cenaze Yardımı (İşçi-Tabii Sebepler Sonucu)")*($AB$44+$AB$44*0.00759)
+COUNTIF(AG49,"Doğal Afet Yardımı")*($AB$45+$AB$45*0.00759)
+COUNTIF(AG49,"Eğitim Yardımı (Çocuk-İlköğretim)")*(0)
+COUNTIF(AG49,"Eğitim Yardımı (Çocuk-Ortaöğretim)")*(0)
+COUNTIF(AG49,"Eğitim Yardımı (Çocuk-Lise)")*(0)
+COUNTIF(AG49,"Eğitim Yardımı (Çocuk-Yükseköğretim)")*(0)
+COUNTIF(AG49,"Eğitim Yardımı (İşçi-Lise)")*(0)
+COUNTIF(AG49,"Eğitim Yardımı (İşçi-Yükseköğretim)")*(0)
+COUNTIF(AG49,"Evlilik Yardımı")*($AB$52+$AB$52*0.00759)
+COUNTIF(AG49,"Gıda Yardımı")*(0)
+COUNTIF(AG49,"İş Kazası veya Meslek Hastalığı Tazminatı")*($AB$54+$AB$54*0.00759)</f>
        <v>0</v>
      </c>
      <c r="AJ49" s="51">
        <f>COUNTIF(AE49,"Yok")*(0)
+COUNTIF(AE49,"Askerlik Yardımı")*($AB$40)
+COUNTIF(AE49,"Cenaze Yardımı (Anne-Baba)")*($AB$41)
+COUNTIF(AE49,"Cenaze Yardımı (Eş-Çocuk)")*($AB$42)
+COUNTIF(AE49,"Cenaze Yardımı (İşçi-İş Kazası Sonucu)")*($AB$43)
+COUNTIF(AE49,"Cenaze Yardımı (İşçi-Tabii Sebepler Sonucu)")*($AB$44)
+COUNTIF(AE49,"Doğal Afet Yardımı")*($AB$45)
+COUNTIF(AE49,"Eğitim Yardımı (Çocuk-İlköğretim)")*($AB$46)
+COUNTIF(AE49,"Eğitim Yardımı (Çocuk-Ortaöğretim)")*($AB$47)
+COUNTIF(AE49,"Eğitim Yardımı (Çocuk-Lise)")*($AB$48)
+COUNTIF(AE49,"Eğitim Yardımı (Çocuk-Yükseköğretim)")*($AB$49)
+COUNTIF(AE49,"Eğitim Yardımı (İşçi-Lise)")*($AB$50)
+COUNTIF(AE49,"Eğitim Yardımı (İşçi-Yükseköğretim)")*($AB$51)
+COUNTIF(AE49,"Evlilik Yardımı")*($AB$52)
+COUNTIF(AE49,"Gıda Yardımı")*($AB$53)
+COUNTIF(AE49,"İş Kazası veya Meslek Hastalığı Tazminatı")*($AB$54)
+COUNTIF(AF49,"Yok")*(0)
+COUNTIF(AF49,"Askerlik Yardımı")*($AB$40)
+COUNTIF(AF49,"Cenaze Yardımı (Anne-Baba)")*($AB$41)
+COUNTIF(AF49,"Cenaze Yardımı (Eş-Çocuk)")*($AB$42)
+COUNTIF(AF49,"Cenaze Yardımı (İşçi-İş Kazası Sonucu)")*($AB$43)
+COUNTIF(AF49,"Cenaze Yardımı (İşçi-Tabii Sebepler Sonucu)")*($AB$44)
+COUNTIF(AF49,"Doğal Afet Yardımı")*($AB$45)
+COUNTIF(AF49,"Eğitim Yardımı (Çocuk-İlköğretim)")*($AB$46)
+COUNTIF(AF49,"Eğitim Yardımı (Çocuk-Ortaöğretim)")*($AB$47)
+COUNTIF(AF49,"Eğitim Yardımı (Çocuk-Lise)")*($AB$48)
+COUNTIF(AF49,"Eğitim Yardımı (Çocuk-Yükseköğretim)")*($AB$49)
+COUNTIF(AF49,"Eğitim Yardımı (İşçi-Lise)")*($AB$50)
+COUNTIF(AF49,"Eğitim Yardımı (İşçi-Yükseköğretim)")*($AB$51)
+COUNTIF(AF49,"Evlilik Yardımı")*($AB$52)
+COUNTIF(AF49,"Gıda Yardımı")*($AB$53)
+COUNTIF(AF49,"İş Kazası veya Meslek Hastalığı Tazminatı")*($AB$54)
+COUNTIF(AG49,"Yok")*(0)
+COUNTIF(AG49,"Askerlik Yardımı")*($AB$40)
+COUNTIF(AG49,"Cenaze Yardımı (Anne-Baba)")*($AB$41)
+COUNTIF(AG49,"Cenaze Yardımı (Eş-Çocuk)")*($AB$42)
+COUNTIF(AG49,"Cenaze Yardımı (İşçi-İş Kazası Sonucu)")*($AB$43)
+COUNTIF(AG49,"Cenaze Yardımı (İşçi-Tabii Sebepler Sonucu)")*($AB$44)
+COUNTIF(AG49,"Doğal Afet Yardımı")*($AB$45)
+COUNTIF(AG49,"Eğitim Yardımı (Çocuk-İlköğretim)")*($AB$46)
+COUNTIF(AG49,"Eğitim Yardımı (Çocuk-Ortaöğretim)")*($AB$47)
+COUNTIF(AG49,"Eğitim Yardımı (Çocuk-Lise)")*($AB$48)
+COUNTIF(AG49,"Eğitim Yardımı (Çocuk-Yükseköğretim)")*($AB$49)
+COUNTIF(AG49,"Eğitim Yardımı (İşçi-Lise)")*($AB$50)
+COUNTIF(AG49,"Eğitim Yardımı (İşçi-Yükseköğretim)")*($AB$51)
+COUNTIF(AG49,"Evlilik Yardımı")*($AB$52)
+COUNTIF(AG49,"Gıda Yardımı")*($AB$53)
+COUNTIF(AG49,"İş Kazası veya Meslek Hastalığı Tazminatı")*($AB$54)</f>
        <v>0</v>
      </c>
      <c r="AK49" s="44" t="s">
        <v>1</v>
      </c>
      <c r="AL49" s="32">
        <f>COUNTIF(AK49,"Var")*(E21*0.9*-1)</f>
        <v>0</v>
      </c>
      <c r="AM49" s="32">
        <f t="shared" si="67"/>
        <v>0</v>
      </c>
      <c r="AN49" s="51">
        <f ca="1">(AK79*L21+AO49)*-1</f>
        <v>0</v>
      </c>
      <c r="AO49" s="51">
        <f>(AO21+AQ21+AS21+AG35+AI35-AK7)*(L21*-1)</f>
        <v>0</v>
      </c>
      <c r="AP49" s="51">
        <f t="shared" ca="1" si="68"/>
        <v>0</v>
      </c>
      <c r="BD49" s="31">
        <v>47</v>
      </c>
      <c r="BE49" s="35">
        <v>23.5</v>
      </c>
      <c r="BF49" s="36">
        <v>0.49</v>
      </c>
    </row>
    <row r="50" spans="27:58" ht="39.950000000000003" hidden="1" customHeight="1" x14ac:dyDescent="0.25">
      <c r="AA50" s="44" t="s">
        <v>49</v>
      </c>
      <c r="AB50" s="51">
        <v>3623</v>
      </c>
      <c r="AE50" s="44" t="s">
        <v>1</v>
      </c>
      <c r="AF50" s="44" t="s">
        <v>1</v>
      </c>
      <c r="AG50" s="44" t="s">
        <v>1</v>
      </c>
      <c r="AH50" s="51">
        <f ca="1">COUNTIF(AE50,"Yok")*(0)
+COUNTIF(AE50,"Askerlik Yardımı")*($AB$40/AY80)
+COUNTIF(AE50,"Cenaze Yardımı (Anne-Baba)")*($AB$41+$AB$41*0.00759)
+COUNTIF(AE50,"Cenaze Yardımı (Eş-Çocuk)")*($AB$42+$AB$42*0.00759)
+COUNTIF(AE50,"Cenaze Yardımı (İşçi-İş Kazası Sonucu)")*($AB$43+$AB$43*0.00759)
+COUNTIF(AE50,"Cenaze Yardımı (İşçi-Tabii Sebepler Sonucu)")*($AB$44+$AB$44*0.00759)
+COUNTIF(AE50,"Doğal Afet Yardımı")*($AB$45+$AB$45*0.00759)
+COUNTIF(AE50,"Eğitim Yardımı (Çocuk-İlköğretim)")*($AB$46/AY80)
+COUNTIF(AE50,"Eğitim Yardımı (Çocuk-Ortaöğretim)")*($AB$47/AY80)
+COUNTIF(AE50,"Eğitim Yardımı (Çocuk-Lise)")*($AB$48/AY80)
+COUNTIF(AE50,"Eğitim Yardımı (Çocuk-Yükseköğretim)")*($AB$49/AY80)
+COUNTIF(AE50,"Eğitim Yardımı (İşçi-Lise)")*($AB$50/AY80)
+COUNTIF(AE50,"Eğitim Yardımı (İşçi-Yükseköğretim)")*($AB$51/AY80)
+COUNTIF(AE50,"Evlilik Yardımı")*($AB$52+$AB$52*0.00759)
+COUNTIF(AE50,"Gıda Yardımı")*($AB$53/AY80)
+COUNTIF(AE50,"İş Kazası veya Meslek Hastalığı Tazminatı")*($AB$54+$AB$54*0.00759)
+COUNTIF(AF50,"Yok")*(0)
+COUNTIF(AF50,"Askerlik Yardımı")*($AB$40/AY80)
+COUNTIF(AF50,"Cenaze Yardımı (Anne-Baba)")*($AB$41+$AB$41*0.00759)
+COUNTIF(AF50,"Cenaze Yardımı (Eş-Çocuk)")*($AB$42+$AB$42*0.00759)
+COUNTIF(AF50,"Cenaze Yardımı (İşçi-İş Kazası Sonucu)")*($AB$43+$AB$43*0.00759)
+COUNTIF(AF50,"Cenaze Yardımı (İşçi-Tabii Sebepler Sonucu)")*($AB$44+$AB$44*0.00759)
+COUNTIF(AF50,"Doğal Afet Yardımı")*($AB$45+$AB$45*0.00759)
+COUNTIF(AF50,"Eğitim Yardımı (Çocuk-İlköğretim)")*($AB$46/AY80)
+COUNTIF(AF50,"Eğitim Yardımı (Çocuk-Ortaöğretim)")*($AB$47/AY80)
+COUNTIF(AF50,"Eğitim Yardımı (Çocuk-Lise)")*($AB$48/AY80)
+COUNTIF(AF50,"Eğitim Yardımı (Çocuk-Yükseköğretim)")*($AB$49/AY80)
+COUNTIF(AF50,"Eğitim Yardımı (İşçi-Lise)")*($AB$50/AY80)
+COUNTIF(AF50,"Eğitim Yardımı (İşçi-Yükseköğretim)")*($AB$51/AY80)
+COUNTIF(AF50,"Evlilik Yardımı")*($AB$52+$AB$52*0.00759)
+COUNTIF(AF50,"Gıda Yardımı")*($AB$53/AY80)
+COUNTIF(AF50,"İş Kazası veya Meslek Hastalığı Tazminatı")*($AB$54+$AB$54*0.00759)
+COUNTIF(AG50,"Yok")*(0)
+COUNTIF(AG50,"Askerlik Yardımı")*($AB$40/AY80)
+COUNTIF(AG50,"Cenaze Yardımı (Anne-Baba)")*($AB$41+$AB$41*0.00759)
+COUNTIF(AG50,"Cenaze Yardımı (Eş-Çocuk)")*($AB$42+$AB$42*0.00759)
+COUNTIF(AG50,"Cenaze Yardımı (İşçi-İş Kazası Sonucu)")*($AB$43+$AB$43*0.00759)
+COUNTIF(AG50,"Cenaze Yardımı (İşçi-Tabii Sebepler Sonucu)")*($AB$44+$AB$44*0.00759)
+COUNTIF(AG50,"Doğal Afet Yardımı")*($AB$45+$AB$45*0.00759)
+COUNTIF(AG50,"Eğitim Yardımı (Çocuk-İlköğretim)")*($AB$46/AY80)
+COUNTIF(AG50,"Eğitim Yardımı (Çocuk-Ortaöğretim)")*($AB$47/AY80)
+COUNTIF(AG50,"Eğitim Yardımı (Çocuk-Lise)")*($AB$48/AY80)
+COUNTIF(AG50,"Eğitim Yardımı (Çocuk-Yükseköğretim)")*($AB$49/AY80)
+COUNTIF(AG50,"Eğitim Yardımı (İşçi-Lise)")*($AB$50/AY80)
+COUNTIF(AG50,"Eğitim Yardımı (İşçi-Yükseköğretim)")*($AB$51/AY80)
+COUNTIF(AG50,"Evlilik Yardımı")*($AB$52+$AB$52*0.00759)
+COUNTIF(AG50,"Gıda Yardımı")*($AB$53/AY80)
+COUNTIF(AG50,"İş Kazası veya Meslek Hastalığı Tazminatı")*($AB$54+$AB$54*0.00759)</f>
        <v>0</v>
      </c>
      <c r="AI50" s="51">
        <f>COUNTIF(AE50,"Yok")*(0)
+COUNTIF(AE50,"Askerlik Yardımı")*(0)
+COUNTIF(AE50,"Cenaze Yardımı (Anne-Baba)")*($AB$41+$AB$41*0.00759)
+COUNTIF(AE50,"Cenaze Yardımı (Eş-Çocuk)")*($AB$42+$AB$42*0.00759)
+COUNTIF(AE50,"Cenaze Yardımı (İşçi-İş Kazası Sonucu)")*($AB$43+$AB$43*0.00759)
+COUNTIF(AE50,"Cenaze Yardımı (İşçi-Tabii Sebepler Sonucu)")*($AB$44+$AB$44*0.00759)
+COUNTIF(AE50,"Doğal Afet Yardımı")*($AB$45+$AB$45*0.00759)
+COUNTIF(AE50,"Eğitim Yardımı (Çocuk-İlköğretim)")*(0)
+COUNTIF(AE50,"Eğitim Yardımı (Çocuk-Ortaöğretim)")*(0)
+COUNTIF(AE50,"Eğitim Yardımı (Çocuk-Lise)")*(0)
+COUNTIF(AE50,"Eğitim Yardımı (Çocuk-Yükseköğretim)")*(0)
+COUNTIF(AE50,"Eğitim Yardımı (İşçi-Lise)")*(0)
+COUNTIF(AE50,"Eğitim Yardımı (İşçi-Yükseköğretim)")*(0)
+COUNTIF(AE50,"Evlilik Yardımı")*($AB$52+$AB$52*0.00759)
+COUNTIF(AE50,"Gıda Yardımı")*(0)
+COUNTIF(AE50,"İş Kazası veya Meslek Hastalığı Tazminatı")*($AB$54+$AB$54*0.00759)
+COUNTIF(AF50,"Yok")*(0)
+COUNTIF(AF50,"Askerlik Yardımı")*(0)
+COUNTIF(AF50,"Cenaze Yardımı (Anne-Baba)")*($AB$41+$AB$41*0.00759)
+COUNTIF(AF50,"Cenaze Yardımı (Eş-Çocuk)")*($AB$42+$AB$42*0.00759)
+COUNTIF(AF50,"Cenaze Yardımı (İşçi-İş Kazası Sonucu)")*($AB$43+$AB$43*0.00759)
+COUNTIF(AF50,"Cenaze Yardımı (İşçi-Tabii Sebepler Sonucu)")*($AB$44+$AB$44*0.00759)
+COUNTIF(AF50,"Doğal Afet Yardımı")*($AB$45+$AB$45*0.00759)
+COUNTIF(AF50,"Eğitim Yardımı (Çocuk-İlköğretim)")*(0)
+COUNTIF(AF50,"Eğitim Yardımı (Çocuk-Ortaöğretim)")*(0)
+COUNTIF(AF50,"Eğitim Yardımı (Çocuk-Lise)")*(0)
+COUNTIF(AF50,"Eğitim Yardımı (Çocuk-Yükseköğretim)")*(0)
+COUNTIF(AF50,"Eğitim Yardımı (İşçi-Lise)")*(0)
+COUNTIF(AF50,"Eğitim Yardımı (İşçi-Yükseköğretim)")*(0)
+COUNTIF(AF50,"Evlilik Yardımı")*($AB$52+$AB$52*0.00759)
+COUNTIF(AF50,"Gıda Yardımı")*(0)
+COUNTIF(AF50,"İş Kazası veya Meslek Hastalığı Tazminatı")*($AB$54+$AB$54*0.00759)
+COUNTIF(AG50,"Yok")*(0)
+COUNTIF(AG50,"Askerlik Yardımı")*(0)
+COUNTIF(AG50,"Cenaze Yardımı (Anne-Baba)")*($AB$41+$AB$41*0.00759)
+COUNTIF(AG50,"Cenaze Yardımı (Eş-Çocuk)")*($AB$42+$AB$42*0.00759)
+COUNTIF(AG50,"Cenaze Yardımı (İşçi-İş Kazası Sonucu)")*($AB$43+$AB$43*0.00759)
+COUNTIF(AG50,"Cenaze Yardımı (İşçi-Tabii Sebepler Sonucu)")*($AB$44+$AB$44*0.00759)
+COUNTIF(AG50,"Doğal Afet Yardımı")*($AB$45+$AB$45*0.00759)
+COUNTIF(AG50,"Eğitim Yardımı (Çocuk-İlköğretim)")*(0)
+COUNTIF(AG50,"Eğitim Yardımı (Çocuk-Ortaöğretim)")*(0)
+COUNTIF(AG50,"Eğitim Yardımı (Çocuk-Lise)")*(0)
+COUNTIF(AG50,"Eğitim Yardımı (Çocuk-Yükseköğretim)")*(0)
+COUNTIF(AG50,"Eğitim Yardımı (İşçi-Lise)")*(0)
+COUNTIF(AG50,"Eğitim Yardımı (İşçi-Yükseköğretim)")*(0)
+COUNTIF(AG50,"Evlilik Yardımı")*($AB$52+$AB$52*0.00759)
+COUNTIF(AG50,"Gıda Yardımı")*(0)
+COUNTIF(AG50,"İş Kazası veya Meslek Hastalığı Tazminatı")*($AB$54+$AB$54*0.00759)</f>
        <v>0</v>
      </c>
      <c r="AJ50" s="51">
        <f>COUNTIF(AE50,"Yok")*(0)
+COUNTIF(AE50,"Askerlik Yardımı")*($AB$40)
+COUNTIF(AE50,"Cenaze Yardımı (Anne-Baba)")*($AB$41)
+COUNTIF(AE50,"Cenaze Yardımı (Eş-Çocuk)")*($AB$42)
+COUNTIF(AE50,"Cenaze Yardımı (İşçi-İş Kazası Sonucu)")*($AB$43)
+COUNTIF(AE50,"Cenaze Yardımı (İşçi-Tabii Sebepler Sonucu)")*($AB$44)
+COUNTIF(AE50,"Doğal Afet Yardımı")*($AB$45)
+COUNTIF(AE50,"Eğitim Yardımı (Çocuk-İlköğretim)")*($AB$46)
+COUNTIF(AE50,"Eğitim Yardımı (Çocuk-Ortaöğretim)")*($AB$47)
+COUNTIF(AE50,"Eğitim Yardımı (Çocuk-Lise)")*($AB$48)
+COUNTIF(AE50,"Eğitim Yardımı (Çocuk-Yükseköğretim)")*($AB$49)
+COUNTIF(AE50,"Eğitim Yardımı (İşçi-Lise)")*($AB$50)
+COUNTIF(AE50,"Eğitim Yardımı (İşçi-Yükseköğretim)")*($AB$51)
+COUNTIF(AE50,"Evlilik Yardımı")*($AB$52)
+COUNTIF(AE50,"Gıda Yardımı")*($AB$53)
+COUNTIF(AE50,"İş Kazası veya Meslek Hastalığı Tazminatı")*($AB$54)
+COUNTIF(AF50,"Yok")*(0)
+COUNTIF(AF50,"Askerlik Yardımı")*($AB$40)
+COUNTIF(AF50,"Cenaze Yardımı (Anne-Baba)")*($AB$41)
+COUNTIF(AF50,"Cenaze Yardımı (Eş-Çocuk)")*($AB$42)
+COUNTIF(AF50,"Cenaze Yardımı (İşçi-İş Kazası Sonucu)")*($AB$43)
+COUNTIF(AF50,"Cenaze Yardımı (İşçi-Tabii Sebepler Sonucu)")*($AB$44)
+COUNTIF(AF50,"Doğal Afet Yardımı")*($AB$45)
+COUNTIF(AF50,"Eğitim Yardımı (Çocuk-İlköğretim)")*($AB$46)
+COUNTIF(AF50,"Eğitim Yardımı (Çocuk-Ortaöğretim)")*($AB$47)
+COUNTIF(AF50,"Eğitim Yardımı (Çocuk-Lise)")*($AB$48)
+COUNTIF(AF50,"Eğitim Yardımı (Çocuk-Yükseköğretim)")*($AB$49)
+COUNTIF(AF50,"Eğitim Yardımı (İşçi-Lise)")*($AB$50)
+COUNTIF(AF50,"Eğitim Yardımı (İşçi-Yükseköğretim)")*($AB$51)
+COUNTIF(AF50,"Evlilik Yardımı")*($AB$52)
+COUNTIF(AF50,"Gıda Yardımı")*($AB$53)
+COUNTIF(AF50,"İş Kazası veya Meslek Hastalığı Tazminatı")*($AB$54)
+COUNTIF(AG50,"Yok")*(0)
+COUNTIF(AG50,"Askerlik Yardımı")*($AB$40)
+COUNTIF(AG50,"Cenaze Yardımı (Anne-Baba)")*($AB$41)
+COUNTIF(AG50,"Cenaze Yardımı (Eş-Çocuk)")*($AB$42)
+COUNTIF(AG50,"Cenaze Yardımı (İşçi-İş Kazası Sonucu)")*($AB$43)
+COUNTIF(AG50,"Cenaze Yardımı (İşçi-Tabii Sebepler Sonucu)")*($AB$44)
+COUNTIF(AG50,"Doğal Afet Yardımı")*($AB$45)
+COUNTIF(AG50,"Eğitim Yardımı (Çocuk-İlköğretim)")*($AB$46)
+COUNTIF(AG50,"Eğitim Yardımı (Çocuk-Ortaöğretim)")*($AB$47)
+COUNTIF(AG50,"Eğitim Yardımı (Çocuk-Lise)")*($AB$48)
+COUNTIF(AG50,"Eğitim Yardımı (Çocuk-Yükseköğretim)")*($AB$49)
+COUNTIF(AG50,"Eğitim Yardımı (İşçi-Lise)")*($AB$50)
+COUNTIF(AG50,"Eğitim Yardımı (İşçi-Yükseköğretim)")*($AB$51)
+COUNTIF(AG50,"Evlilik Yardımı")*($AB$52)
+COUNTIF(AG50,"Gıda Yardımı")*($AB$53)
+COUNTIF(AG50,"İş Kazası veya Meslek Hastalığı Tazminatı")*($AB$54)</f>
        <v>0</v>
      </c>
      <c r="AK50" s="44" t="s">
        <v>1</v>
      </c>
      <c r="AL50" s="32">
        <f>COUNTIF(AK50,"Var")*(E22*0.9*-1)</f>
        <v>0</v>
      </c>
      <c r="AM50" s="32">
        <f t="shared" si="67"/>
        <v>0</v>
      </c>
      <c r="AN50" s="51">
        <f ca="1">(AK80*L22+AO50)*-1</f>
        <v>0</v>
      </c>
      <c r="AO50" s="51">
        <f>(AO22+AQ22+AS22+AG36+AI36-AK8)*(L22*-1)</f>
        <v>0</v>
      </c>
      <c r="AP50" s="51">
        <f t="shared" ca="1" si="68"/>
        <v>0</v>
      </c>
      <c r="BD50" s="31">
        <v>48</v>
      </c>
      <c r="BE50" s="35">
        <v>24</v>
      </c>
      <c r="BF50" s="36">
        <v>0.5</v>
      </c>
    </row>
    <row r="51" spans="27:58" ht="39.950000000000003" hidden="1" customHeight="1" x14ac:dyDescent="0.25">
      <c r="AA51" s="44" t="s">
        <v>50</v>
      </c>
      <c r="AB51" s="51">
        <v>5422</v>
      </c>
      <c r="AE51" s="44" t="s">
        <v>1</v>
      </c>
      <c r="AF51" s="44" t="s">
        <v>1</v>
      </c>
      <c r="AG51" s="44" t="s">
        <v>1</v>
      </c>
      <c r="AH51" s="51">
        <f ca="1">COUNTIF(AE51,"Yok")*(0)
+COUNTIF(AE51,"Askerlik Yardımı")*($AB$40/AY81)
+COUNTIF(AE51,"Cenaze Yardımı (Anne-Baba)")*($AB$41+$AB$41*0.00759)
+COUNTIF(AE51,"Cenaze Yardımı (Eş-Çocuk)")*($AB$42+$AB$42*0.00759)
+COUNTIF(AE51,"Cenaze Yardımı (İşçi-İş Kazası Sonucu)")*($AB$43+$AB$43*0.00759)
+COUNTIF(AE51,"Cenaze Yardımı (İşçi-Tabii Sebepler Sonucu)")*($AB$44+$AB$44*0.00759)
+COUNTIF(AE51,"Doğal Afet Yardımı")*($AB$45+$AB$45*0.00759)
+COUNTIF(AE51,"Eğitim Yardımı (Çocuk-İlköğretim)")*($AB$46/AY81)
+COUNTIF(AE51,"Eğitim Yardımı (Çocuk-Ortaöğretim)")*($AB$47/AY81)
+COUNTIF(AE51,"Eğitim Yardımı (Çocuk-Lise)")*($AB$48/AY81)
+COUNTIF(AE51,"Eğitim Yardımı (Çocuk-Yükseköğretim)")*($AB$49/AY81)
+COUNTIF(AE51,"Eğitim Yardımı (İşçi-Lise)")*($AB$50/AY81)
+COUNTIF(AE51,"Eğitim Yardımı (İşçi-Yükseköğretim)")*($AB$51/AY81)
+COUNTIF(AE51,"Evlilik Yardımı")*($AB$52+$AB$52*0.00759)
+COUNTIF(AE51,"Gıda Yardımı")*($AB$53/AY81)
+COUNTIF(AE51,"İş Kazası veya Meslek Hastalığı Tazminatı")*($AB$54+$AB$54*0.00759)
+COUNTIF(AF51,"Yok")*(0)
+COUNTIF(AF51,"Askerlik Yardımı")*($AB$40/AY81)
+COUNTIF(AF51,"Cenaze Yardımı (Anne-Baba)")*($AB$41+$AB$41*0.00759)
+COUNTIF(AF51,"Cenaze Yardımı (Eş-Çocuk)")*($AB$42+$AB$42*0.00759)
+COUNTIF(AF51,"Cenaze Yardımı (İşçi-İş Kazası Sonucu)")*($AB$43+$AB$43*0.00759)
+COUNTIF(AF51,"Cenaze Yardımı (İşçi-Tabii Sebepler Sonucu)")*($AB$44+$AB$44*0.00759)
+COUNTIF(AF51,"Doğal Afet Yardımı")*($AB$45+$AB$45*0.00759)
+COUNTIF(AF51,"Eğitim Yardımı (Çocuk-İlköğretim)")*($AB$46/AY81)
+COUNTIF(AF51,"Eğitim Yardımı (Çocuk-Ortaöğretim)")*($AB$47/AY81)
+COUNTIF(AF51,"Eğitim Yardımı (Çocuk-Lise)")*($AB$48/AY81)
+COUNTIF(AF51,"Eğitim Yardımı (Çocuk-Yükseköğretim)")*($AB$49/AY81)
+COUNTIF(AF51,"Eğitim Yardımı (İşçi-Lise)")*($AB$50/AY81)
+COUNTIF(AF51,"Eğitim Yardımı (İşçi-Yükseköğretim)")*($AB$51/AY81)
+COUNTIF(AF51,"Evlilik Yardımı")*($AB$52+$AB$52*0.00759)
+COUNTIF(AF51,"Gıda Yardımı")*($AB$53/AY81)
+COUNTIF(AF51,"İş Kazası veya Meslek Hastalığı Tazminatı")*($AB$54+$AB$54*0.00759)
+COUNTIF(AG51,"Yok")*(0)
+COUNTIF(AG51,"Askerlik Yardımı")*($AB$40/AY81)
+COUNTIF(AG51,"Cenaze Yardımı (Anne-Baba)")*($AB$41+$AB$41*0.00759)
+COUNTIF(AG51,"Cenaze Yardımı (Eş-Çocuk)")*($AB$42+$AB$42*0.00759)
+COUNTIF(AG51,"Cenaze Yardımı (İşçi-İş Kazası Sonucu)")*($AB$43+$AB$43*0.00759)
+COUNTIF(AG51,"Cenaze Yardımı (İşçi-Tabii Sebepler Sonucu)")*($AB$44+$AB$44*0.00759)
+COUNTIF(AG51,"Doğal Afet Yardımı")*($AB$45+$AB$45*0.00759)
+COUNTIF(AG51,"Eğitim Yardımı (Çocuk-İlköğretim)")*($AB$46/AY81)
+COUNTIF(AG51,"Eğitim Yardımı (Çocuk-Ortaöğretim)")*($AB$47/AY81)
+COUNTIF(AG51,"Eğitim Yardımı (Çocuk-Lise)")*($AB$48/AY81)
+COUNTIF(AG51,"Eğitim Yardımı (Çocuk-Yükseköğretim)")*($AB$49/AY81)
+COUNTIF(AG51,"Eğitim Yardımı (İşçi-Lise)")*($AB$50/AY81)
+COUNTIF(AG51,"Eğitim Yardımı (İşçi-Yükseköğretim)")*($AB$51/AY81)
+COUNTIF(AG51,"Evlilik Yardımı")*($AB$52+$AB$52*0.00759)
+COUNTIF(AG51,"Gıda Yardımı")*($AB$53/AY81)
+COUNTIF(AG51,"İş Kazası veya Meslek Hastalığı Tazminatı")*($AB$54+$AB$54*0.00759)</f>
        <v>0</v>
      </c>
      <c r="AI51" s="51">
        <f>COUNTIF(AE51,"Yok")*(0)
+COUNTIF(AE51,"Askerlik Yardımı")*(0)
+COUNTIF(AE51,"Cenaze Yardımı (Anne-Baba)")*($AB$41+$AB$41*0.00759)
+COUNTIF(AE51,"Cenaze Yardımı (Eş-Çocuk)")*($AB$42+$AB$42*0.00759)
+COUNTIF(AE51,"Cenaze Yardımı (İşçi-İş Kazası Sonucu)")*($AB$43+$AB$43*0.00759)
+COUNTIF(AE51,"Cenaze Yardımı (İşçi-Tabii Sebepler Sonucu)")*($AB$44+$AB$44*0.00759)
+COUNTIF(AE51,"Doğal Afet Yardımı")*($AB$45+$AB$45*0.00759)
+COUNTIF(AE51,"Eğitim Yardımı (Çocuk-İlköğretim)")*(0)
+COUNTIF(AE51,"Eğitim Yardımı (Çocuk-Ortaöğretim)")*(0)
+COUNTIF(AE51,"Eğitim Yardımı (Çocuk-Lise)")*(0)
+COUNTIF(AE51,"Eğitim Yardımı (Çocuk-Yükseköğretim)")*(0)
+COUNTIF(AE51,"Eğitim Yardımı (İşçi-Lise)")*(0)
+COUNTIF(AE51,"Eğitim Yardımı (İşçi-Yükseköğretim)")*(0)
+COUNTIF(AE51,"Evlilik Yardımı")*($AB$52+$AB$52*0.00759)
+COUNTIF(AE51,"Gıda Yardımı")*(0)
+COUNTIF(AE51,"İş Kazası veya Meslek Hastalığı Tazminatı")*($AB$54+$AB$54*0.00759)
+COUNTIF(AF51,"Yok")*(0)
+COUNTIF(AF51,"Askerlik Yardımı")*(0)
+COUNTIF(AF51,"Cenaze Yardımı (Anne-Baba)")*($AB$41+$AB$41*0.00759)
+COUNTIF(AF51,"Cenaze Yardımı (Eş-Çocuk)")*($AB$42+$AB$42*0.00759)
+COUNTIF(AF51,"Cenaze Yardımı (İşçi-İş Kazası Sonucu)")*($AB$43+$AB$43*0.00759)
+COUNTIF(AF51,"Cenaze Yardımı (İşçi-Tabii Sebepler Sonucu)")*($AB$44+$AB$44*0.00759)
+COUNTIF(AF51,"Doğal Afet Yardımı")*($AB$45+$AB$45*0.00759)
+COUNTIF(AF51,"Eğitim Yardımı (Çocuk-İlköğretim)")*(0)
+COUNTIF(AF51,"Eğitim Yardımı (Çocuk-Ortaöğretim)")*(0)
+COUNTIF(AF51,"Eğitim Yardımı (Çocuk-Lise)")*(0)
+COUNTIF(AF51,"Eğitim Yardımı (Çocuk-Yükseköğretim)")*(0)
+COUNTIF(AF51,"Eğitim Yardımı (İşçi-Lise)")*(0)
+COUNTIF(AF51,"Eğitim Yardımı (İşçi-Yükseköğretim)")*(0)
+COUNTIF(AF51,"Evlilik Yardımı")*($AB$52+$AB$52*0.00759)
+COUNTIF(AF51,"Gıda Yardımı")*(0)
+COUNTIF(AF51,"İş Kazası veya Meslek Hastalığı Tazminatı")*($AB$54+$AB$54*0.00759)
+COUNTIF(AG51,"Yok")*(0)
+COUNTIF(AG51,"Askerlik Yardımı")*(0)
+COUNTIF(AG51,"Cenaze Yardımı (Anne-Baba)")*($AB$41+$AB$41*0.00759)
+COUNTIF(AG51,"Cenaze Yardımı (Eş-Çocuk)")*($AB$42+$AB$42*0.00759)
+COUNTIF(AG51,"Cenaze Yardımı (İşçi-İş Kazası Sonucu)")*($AB$43+$AB$43*0.00759)
+COUNTIF(AG51,"Cenaze Yardımı (İşçi-Tabii Sebepler Sonucu)")*($AB$44+$AB$44*0.00759)
+COUNTIF(AG51,"Doğal Afet Yardımı")*($AB$45+$AB$45*0.00759)
+COUNTIF(AG51,"Eğitim Yardımı (Çocuk-İlköğretim)")*(0)
+COUNTIF(AG51,"Eğitim Yardımı (Çocuk-Ortaöğretim)")*(0)
+COUNTIF(AG51,"Eğitim Yardımı (Çocuk-Lise)")*(0)
+COUNTIF(AG51,"Eğitim Yardımı (Çocuk-Yükseköğretim)")*(0)
+COUNTIF(AG51,"Eğitim Yardımı (İşçi-Lise)")*(0)
+COUNTIF(AG51,"Eğitim Yardımı (İşçi-Yükseköğretim)")*(0)
+COUNTIF(AG51,"Evlilik Yardımı")*($AB$52+$AB$52*0.00759)
+COUNTIF(AG51,"Gıda Yardımı")*(0)
+COUNTIF(AG51,"İş Kazası veya Meslek Hastalığı Tazminatı")*($AB$54+$AB$54*0.00759)</f>
        <v>0</v>
      </c>
      <c r="AJ51" s="51">
        <f>COUNTIF(AE51,"Yok")*(0)
+COUNTIF(AE51,"Askerlik Yardımı")*($AB$40)
+COUNTIF(AE51,"Cenaze Yardımı (Anne-Baba)")*($AB$41)
+COUNTIF(AE51,"Cenaze Yardımı (Eş-Çocuk)")*($AB$42)
+COUNTIF(AE51,"Cenaze Yardımı (İşçi-İş Kazası Sonucu)")*($AB$43)
+COUNTIF(AE51,"Cenaze Yardımı (İşçi-Tabii Sebepler Sonucu)")*($AB$44)
+COUNTIF(AE51,"Doğal Afet Yardımı")*($AB$45)
+COUNTIF(AE51,"Eğitim Yardımı (Çocuk-İlköğretim)")*($AB$46)
+COUNTIF(AE51,"Eğitim Yardımı (Çocuk-Ortaöğretim)")*($AB$47)
+COUNTIF(AE51,"Eğitim Yardımı (Çocuk-Lise)")*($AB$48)
+COUNTIF(AE51,"Eğitim Yardımı (Çocuk-Yükseköğretim)")*($AB$49)
+COUNTIF(AE51,"Eğitim Yardımı (İşçi-Lise)")*($AB$50)
+COUNTIF(AE51,"Eğitim Yardımı (İşçi-Yükseköğretim)")*($AB$51)
+COUNTIF(AE51,"Evlilik Yardımı")*($AB$52)
+COUNTIF(AE51,"Gıda Yardımı")*($AB$53)
+COUNTIF(AE51,"İş Kazası veya Meslek Hastalığı Tazminatı")*($AB$54)
+COUNTIF(AF51,"Yok")*(0)
+COUNTIF(AF51,"Askerlik Yardımı")*($AB$40)
+COUNTIF(AF51,"Cenaze Yardımı (Anne-Baba)")*($AB$41)
+COUNTIF(AF51,"Cenaze Yardımı (Eş-Çocuk)")*($AB$42)
+COUNTIF(AF51,"Cenaze Yardımı (İşçi-İş Kazası Sonucu)")*($AB$43)
+COUNTIF(AF51,"Cenaze Yardımı (İşçi-Tabii Sebepler Sonucu)")*($AB$44)
+COUNTIF(AF51,"Doğal Afet Yardımı")*($AB$45)
+COUNTIF(AF51,"Eğitim Yardımı (Çocuk-İlköğretim)")*($AB$46)
+COUNTIF(AF51,"Eğitim Yardımı (Çocuk-Ortaöğretim)")*($AB$47)
+COUNTIF(AF51,"Eğitim Yardımı (Çocuk-Lise)")*($AB$48)
+COUNTIF(AF51,"Eğitim Yardımı (Çocuk-Yükseköğretim)")*($AB$49)
+COUNTIF(AF51,"Eğitim Yardımı (İşçi-Lise)")*($AB$50)
+COUNTIF(AF51,"Eğitim Yardımı (İşçi-Yükseköğretim)")*($AB$51)
+COUNTIF(AF51,"Evlilik Yardımı")*($AB$52)
+COUNTIF(AF51,"Gıda Yardımı")*($AB$53)
+COUNTIF(AF51,"İş Kazası veya Meslek Hastalığı Tazminatı")*($AB$54)
+COUNTIF(AG51,"Yok")*(0)
+COUNTIF(AG51,"Askerlik Yardımı")*($AB$40)
+COUNTIF(AG51,"Cenaze Yardımı (Anne-Baba)")*($AB$41)
+COUNTIF(AG51,"Cenaze Yardımı (Eş-Çocuk)")*($AB$42)
+COUNTIF(AG51,"Cenaze Yardımı (İşçi-İş Kazası Sonucu)")*($AB$43)
+COUNTIF(AG51,"Cenaze Yardımı (İşçi-Tabii Sebepler Sonucu)")*($AB$44)
+COUNTIF(AG51,"Doğal Afet Yardımı")*($AB$45)
+COUNTIF(AG51,"Eğitim Yardımı (Çocuk-İlköğretim)")*($AB$46)
+COUNTIF(AG51,"Eğitim Yardımı (Çocuk-Ortaöğretim)")*($AB$47)
+COUNTIF(AG51,"Eğitim Yardımı (Çocuk-Lise)")*($AB$48)
+COUNTIF(AG51,"Eğitim Yardımı (Çocuk-Yükseköğretim)")*($AB$49)
+COUNTIF(AG51,"Eğitim Yardımı (İşçi-Lise)")*($AB$50)
+COUNTIF(AG51,"Eğitim Yardımı (İşçi-Yükseköğretim)")*($AB$51)
+COUNTIF(AG51,"Evlilik Yardımı")*($AB$52)
+COUNTIF(AG51,"Gıda Yardımı")*($AB$53)
+COUNTIF(AG51,"İş Kazası veya Meslek Hastalığı Tazminatı")*($AB$54)</f>
        <v>0</v>
      </c>
      <c r="AK51" s="44" t="s">
        <v>1</v>
      </c>
      <c r="AL51" s="32">
        <f>COUNTIF(AK51,"Var")*(E23*0.9*-1)</f>
        <v>0</v>
      </c>
      <c r="AM51" s="32">
        <f t="shared" si="67"/>
        <v>0</v>
      </c>
      <c r="AN51" s="51">
        <f ca="1">(AK81*L23+AO51)*-1</f>
        <v>0</v>
      </c>
      <c r="AO51" s="51">
        <f>(AO23+AQ23+AS23+AG37+AI37-AK9)*(L23*-1)</f>
        <v>0</v>
      </c>
      <c r="AP51" s="51">
        <f t="shared" ca="1" si="68"/>
        <v>0</v>
      </c>
      <c r="BD51" s="31">
        <v>49</v>
      </c>
      <c r="BE51" s="35">
        <v>24.5</v>
      </c>
      <c r="BF51" s="54" t="s">
        <v>0</v>
      </c>
    </row>
    <row r="52" spans="27:58" ht="39.950000000000003" hidden="1" customHeight="1" x14ac:dyDescent="0.25">
      <c r="AA52" s="44" t="s">
        <v>8</v>
      </c>
      <c r="AB52" s="51">
        <v>5000</v>
      </c>
      <c r="AE52" s="44" t="s">
        <v>1</v>
      </c>
      <c r="AF52" s="44" t="s">
        <v>1</v>
      </c>
      <c r="AG52" s="44" t="s">
        <v>1</v>
      </c>
      <c r="AH52" s="51">
        <f ca="1">COUNTIF(AE52,"Yok")*(0)
+COUNTIF(AE52,"Askerlik Yardımı")*($AB$40/AY82)
+COUNTIF(AE52,"Cenaze Yardımı (Anne-Baba)")*($AB$41+$AB$41*0.00759)
+COUNTIF(AE52,"Cenaze Yardımı (Eş-Çocuk)")*($AB$42+$AB$42*0.00759)
+COUNTIF(AE52,"Cenaze Yardımı (İşçi-İş Kazası Sonucu)")*($AB$43+$AB$43*0.00759)
+COUNTIF(AE52,"Cenaze Yardımı (İşçi-Tabii Sebepler Sonucu)")*($AB$44+$AB$44*0.00759)
+COUNTIF(AE52,"Doğal Afet Yardımı")*($AB$45+$AB$45*0.00759)
+COUNTIF(AE52,"Eğitim Yardımı (Çocuk-İlköğretim)")*($AB$46/AY82)
+COUNTIF(AE52,"Eğitim Yardımı (Çocuk-Ortaöğretim)")*($AB$47/AY82)
+COUNTIF(AE52,"Eğitim Yardımı (Çocuk-Lise)")*($AB$48/AY82)
+COUNTIF(AE52,"Eğitim Yardımı (Çocuk-Yükseköğretim)")*($AB$49/AY82)
+COUNTIF(AE52,"Eğitim Yardımı (İşçi-Lise)")*($AB$50/AY82)
+COUNTIF(AE52,"Eğitim Yardımı (İşçi-Yükseköğretim)")*($AB$51/AY82)
+COUNTIF(AE52,"Evlilik Yardımı")*($AB$52+$AB$52*0.00759)
+COUNTIF(AE52,"Gıda Yardımı")*($AB$53/AY82)
+COUNTIF(AE52,"İş Kazası veya Meslek Hastalığı Tazminatı")*($AB$54+$AB$54*0.00759)
+COUNTIF(AF52,"Yok")*(0)
+COUNTIF(AF52,"Askerlik Yardımı")*($AB$40/AY82)
+COUNTIF(AF52,"Cenaze Yardımı (Anne-Baba)")*($AB$41+$AB$41*0.00759)
+COUNTIF(AF52,"Cenaze Yardımı (Eş-Çocuk)")*($AB$42+$AB$42*0.00759)
+COUNTIF(AF52,"Cenaze Yardımı (İşçi-İş Kazası Sonucu)")*($AB$43+$AB$43*0.00759)
+COUNTIF(AF52,"Cenaze Yardımı (İşçi-Tabii Sebepler Sonucu)")*($AB$44+$AB$44*0.00759)
+COUNTIF(AF52,"Doğal Afet Yardımı")*($AB$45+$AB$45*0.00759)
+COUNTIF(AF52,"Eğitim Yardımı (Çocuk-İlköğretim)")*($AB$46/AY82)
+COUNTIF(AF52,"Eğitim Yardımı (Çocuk-Ortaöğretim)")*($AB$47/AY82)
+COUNTIF(AF52,"Eğitim Yardımı (Çocuk-Lise)")*($AB$48/AY82)
+COUNTIF(AF52,"Eğitim Yardımı (Çocuk-Yükseköğretim)")*($AB$49/AY82)
+COUNTIF(AF52,"Eğitim Yardımı (İşçi-Lise)")*($AB$50/AY82)
+COUNTIF(AF52,"Eğitim Yardımı (İşçi-Yükseköğretim)")*($AB$51/AY82)
+COUNTIF(AF52,"Evlilik Yardımı")*($AB$52+$AB$52*0.00759)
+COUNTIF(AF52,"Gıda Yardımı")*($AB$53/AY82)
+COUNTIF(AF52,"İş Kazası veya Meslek Hastalığı Tazminatı")*($AB$54+$AB$54*0.00759)
+COUNTIF(AG52,"Yok")*(0)
+COUNTIF(AG52,"Askerlik Yardımı")*($AB$40/AY82)
+COUNTIF(AG52,"Cenaze Yardımı (Anne-Baba)")*($AB$41+$AB$41*0.00759)
+COUNTIF(AG52,"Cenaze Yardımı (Eş-Çocuk)")*($AB$42+$AB$42*0.00759)
+COUNTIF(AG52,"Cenaze Yardımı (İşçi-İş Kazası Sonucu)")*($AB$43+$AB$43*0.00759)
+COUNTIF(AG52,"Cenaze Yardımı (İşçi-Tabii Sebepler Sonucu)")*($AB$44+$AB$44*0.00759)
+COUNTIF(AG52,"Doğal Afet Yardımı")*($AB$45+$AB$45*0.00759)
+COUNTIF(AG52,"Eğitim Yardımı (Çocuk-İlköğretim)")*($AB$46/AY82)
+COUNTIF(AG52,"Eğitim Yardımı (Çocuk-Ortaöğretim)")*($AB$47/AY82)
+COUNTIF(AG52,"Eğitim Yardımı (Çocuk-Lise)")*($AB$48/AY82)
+COUNTIF(AG52,"Eğitim Yardımı (Çocuk-Yükseköğretim)")*($AB$49/AY82)
+COUNTIF(AG52,"Eğitim Yardımı (İşçi-Lise)")*($AB$50/AY82)
+COUNTIF(AG52,"Eğitim Yardımı (İşçi-Yükseköğretim)")*($AB$51/AY82)
+COUNTIF(AG52,"Evlilik Yardımı")*($AB$52+$AB$52*0.00759)
+COUNTIF(AG52,"Gıda Yardımı")*($AB$53/AY82)
+COUNTIF(AG52,"İş Kazası veya Meslek Hastalığı Tazminatı")*($AB$54+$AB$54*0.00759)</f>
        <v>0</v>
      </c>
      <c r="AI52" s="51">
        <f>COUNTIF(AE52,"Yok")*(0)
+COUNTIF(AE52,"Askerlik Yardımı")*(0)
+COUNTIF(AE52,"Cenaze Yardımı (Anne-Baba)")*($AB$41+$AB$41*0.00759)
+COUNTIF(AE52,"Cenaze Yardımı (Eş-Çocuk)")*($AB$42+$AB$42*0.00759)
+COUNTIF(AE52,"Cenaze Yardımı (İşçi-İş Kazası Sonucu)")*($AB$43+$AB$43*0.00759)
+COUNTIF(AE52,"Cenaze Yardımı (İşçi-Tabii Sebepler Sonucu)")*($AB$44+$AB$44*0.00759)
+COUNTIF(AE52,"Doğal Afet Yardımı")*($AB$45+$AB$45*0.00759)
+COUNTIF(AE52,"Eğitim Yardımı (Çocuk-İlköğretim)")*(0)
+COUNTIF(AE52,"Eğitim Yardımı (Çocuk-Ortaöğretim)")*(0)
+COUNTIF(AE52,"Eğitim Yardımı (Çocuk-Lise)")*(0)
+COUNTIF(AE52,"Eğitim Yardımı (Çocuk-Yükseköğretim)")*(0)
+COUNTIF(AE52,"Eğitim Yardımı (İşçi-Lise)")*(0)
+COUNTIF(AE52,"Eğitim Yardımı (İşçi-Yükseköğretim)")*(0)
+COUNTIF(AE52,"Evlilik Yardımı")*($AB$52+$AB$52*0.00759)
+COUNTIF(AE52,"Gıda Yardımı")*(0)
+COUNTIF(AE52,"İş Kazası veya Meslek Hastalığı Tazminatı")*($AB$54+$AB$54*0.00759)
+COUNTIF(AF52,"Yok")*(0)
+COUNTIF(AF52,"Askerlik Yardımı")*(0)
+COUNTIF(AF52,"Cenaze Yardımı (Anne-Baba)")*($AB$41+$AB$41*0.00759)
+COUNTIF(AF52,"Cenaze Yardımı (Eş-Çocuk)")*($AB$42+$AB$42*0.00759)
+COUNTIF(AF52,"Cenaze Yardımı (İşçi-İş Kazası Sonucu)")*($AB$43+$AB$43*0.00759)
+COUNTIF(AF52,"Cenaze Yardımı (İşçi-Tabii Sebepler Sonucu)")*($AB$44+$AB$44*0.00759)
+COUNTIF(AF52,"Doğal Afet Yardımı")*($AB$45+$AB$45*0.00759)
+COUNTIF(AF52,"Eğitim Yardımı (Çocuk-İlköğretim)")*(0)
+COUNTIF(AF52,"Eğitim Yardımı (Çocuk-Ortaöğretim)")*(0)
+COUNTIF(AF52,"Eğitim Yardımı (Çocuk-Lise)")*(0)
+COUNTIF(AF52,"Eğitim Yardımı (Çocuk-Yükseköğretim)")*(0)
+COUNTIF(AF52,"Eğitim Yardımı (İşçi-Lise)")*(0)
+COUNTIF(AF52,"Eğitim Yardımı (İşçi-Yükseköğretim)")*(0)
+COUNTIF(AF52,"Evlilik Yardımı")*($AB$52+$AB$52*0.00759)
+COUNTIF(AF52,"Gıda Yardımı")*(0)
+COUNTIF(AF52,"İş Kazası veya Meslek Hastalığı Tazminatı")*($AB$54+$AB$54*0.00759)
+COUNTIF(AG52,"Yok")*(0)
+COUNTIF(AG52,"Askerlik Yardımı")*(0)
+COUNTIF(AG52,"Cenaze Yardımı (Anne-Baba)")*($AB$41+$AB$41*0.00759)
+COUNTIF(AG52,"Cenaze Yardımı (Eş-Çocuk)")*($AB$42+$AB$42*0.00759)
+COUNTIF(AG52,"Cenaze Yardımı (İşçi-İş Kazası Sonucu)")*($AB$43+$AB$43*0.00759)
+COUNTIF(AG52,"Cenaze Yardımı (İşçi-Tabii Sebepler Sonucu)")*($AB$44+$AB$44*0.00759)
+COUNTIF(AG52,"Doğal Afet Yardımı")*($AB$45+$AB$45*0.00759)
+COUNTIF(AG52,"Eğitim Yardımı (Çocuk-İlköğretim)")*(0)
+COUNTIF(AG52,"Eğitim Yardımı (Çocuk-Ortaöğretim)")*(0)
+COUNTIF(AG52,"Eğitim Yardımı (Çocuk-Lise)")*(0)
+COUNTIF(AG52,"Eğitim Yardımı (Çocuk-Yükseköğretim)")*(0)
+COUNTIF(AG52,"Eğitim Yardımı (İşçi-Lise)")*(0)
+COUNTIF(AG52,"Eğitim Yardımı (İşçi-Yükseköğretim)")*(0)
+COUNTIF(AG52,"Evlilik Yardımı")*($AB$52+$AB$52*0.00759)
+COUNTIF(AG52,"Gıda Yardımı")*(0)
+COUNTIF(AG52,"İş Kazası veya Meslek Hastalığı Tazminatı")*($AB$54+$AB$54*0.00759)</f>
        <v>0</v>
      </c>
      <c r="AJ52" s="51">
        <f>COUNTIF(AE52,"Yok")*(0)
+COUNTIF(AE52,"Askerlik Yardımı")*($AB$40)
+COUNTIF(AE52,"Cenaze Yardımı (Anne-Baba)")*($AB$41)
+COUNTIF(AE52,"Cenaze Yardımı (Eş-Çocuk)")*($AB$42)
+COUNTIF(AE52,"Cenaze Yardımı (İşçi-İş Kazası Sonucu)")*($AB$43)
+COUNTIF(AE52,"Cenaze Yardımı (İşçi-Tabii Sebepler Sonucu)")*($AB$44)
+COUNTIF(AE52,"Doğal Afet Yardımı")*($AB$45)
+COUNTIF(AE52,"Eğitim Yardımı (Çocuk-İlköğretim)")*($AB$46)
+COUNTIF(AE52,"Eğitim Yardımı (Çocuk-Ortaöğretim)")*($AB$47)
+COUNTIF(AE52,"Eğitim Yardımı (Çocuk-Lise)")*($AB$48)
+COUNTIF(AE52,"Eğitim Yardımı (Çocuk-Yükseköğretim)")*($AB$49)
+COUNTIF(AE52,"Eğitim Yardımı (İşçi-Lise)")*($AB$50)
+COUNTIF(AE52,"Eğitim Yardımı (İşçi-Yükseköğretim)")*($AB$51)
+COUNTIF(AE52,"Evlilik Yardımı")*($AB$52)
+COUNTIF(AE52,"Gıda Yardımı")*($AB$53)
+COUNTIF(AE52,"İş Kazası veya Meslek Hastalığı Tazminatı")*($AB$54)
+COUNTIF(AF52,"Yok")*(0)
+COUNTIF(AF52,"Askerlik Yardımı")*($AB$40)
+COUNTIF(AF52,"Cenaze Yardımı (Anne-Baba)")*($AB$41)
+COUNTIF(AF52,"Cenaze Yardımı (Eş-Çocuk)")*($AB$42)
+COUNTIF(AF52,"Cenaze Yardımı (İşçi-İş Kazası Sonucu)")*($AB$43)
+COUNTIF(AF52,"Cenaze Yardımı (İşçi-Tabii Sebepler Sonucu)")*($AB$44)
+COUNTIF(AF52,"Doğal Afet Yardımı")*($AB$45)
+COUNTIF(AF52,"Eğitim Yardımı (Çocuk-İlköğretim)")*($AB$46)
+COUNTIF(AF52,"Eğitim Yardımı (Çocuk-Ortaöğretim)")*($AB$47)
+COUNTIF(AF52,"Eğitim Yardımı (Çocuk-Lise)")*($AB$48)
+COUNTIF(AF52,"Eğitim Yardımı (Çocuk-Yükseköğretim)")*($AB$49)
+COUNTIF(AF52,"Eğitim Yardımı (İşçi-Lise)")*($AB$50)
+COUNTIF(AF52,"Eğitim Yardımı (İşçi-Yükseköğretim)")*($AB$51)
+COUNTIF(AF52,"Evlilik Yardımı")*($AB$52)
+COUNTIF(AF52,"Gıda Yardımı")*($AB$53)
+COUNTIF(AF52,"İş Kazası veya Meslek Hastalığı Tazminatı")*($AB$54)
+COUNTIF(AG52,"Yok")*(0)
+COUNTIF(AG52,"Askerlik Yardımı")*($AB$40)
+COUNTIF(AG52,"Cenaze Yardımı (Anne-Baba)")*($AB$41)
+COUNTIF(AG52,"Cenaze Yardımı (Eş-Çocuk)")*($AB$42)
+COUNTIF(AG52,"Cenaze Yardımı (İşçi-İş Kazası Sonucu)")*($AB$43)
+COUNTIF(AG52,"Cenaze Yardımı (İşçi-Tabii Sebepler Sonucu)")*($AB$44)
+COUNTIF(AG52,"Doğal Afet Yardımı")*($AB$45)
+COUNTIF(AG52,"Eğitim Yardımı (Çocuk-İlköğretim)")*($AB$46)
+COUNTIF(AG52,"Eğitim Yardımı (Çocuk-Ortaöğretim)")*($AB$47)
+COUNTIF(AG52,"Eğitim Yardımı (Çocuk-Lise)")*($AB$48)
+COUNTIF(AG52,"Eğitim Yardımı (Çocuk-Yükseköğretim)")*($AB$49)
+COUNTIF(AG52,"Eğitim Yardımı (İşçi-Lise)")*($AB$50)
+COUNTIF(AG52,"Eğitim Yardımı (İşçi-Yükseköğretim)")*($AB$51)
+COUNTIF(AG52,"Evlilik Yardımı")*($AB$52)
+COUNTIF(AG52,"Gıda Yardımı")*($AB$53)
+COUNTIF(AG52,"İş Kazası veya Meslek Hastalığı Tazminatı")*($AB$54)</f>
        <v>0</v>
      </c>
      <c r="AK52" s="44" t="s">
        <v>1</v>
      </c>
      <c r="AL52" s="32">
        <f>COUNTIF(AK52,"Var")*(E24*0.9*-1)</f>
        <v>0</v>
      </c>
      <c r="AM52" s="32">
        <f t="shared" si="67"/>
        <v>0</v>
      </c>
      <c r="AN52" s="51">
        <f ca="1">(AK82*L24+AO52)*-1</f>
        <v>0</v>
      </c>
      <c r="AO52" s="51">
        <f>(AO24+AQ24+AS24+AG38+AI38-AK10)*(L24*-1)</f>
        <v>0</v>
      </c>
      <c r="AP52" s="51">
        <f t="shared" ca="1" si="68"/>
        <v>0</v>
      </c>
      <c r="BD52" s="31">
        <v>50</v>
      </c>
      <c r="BE52" s="35">
        <v>25</v>
      </c>
      <c r="BF52" s="54" t="s">
        <v>0</v>
      </c>
    </row>
    <row r="53" spans="27:58" ht="39.950000000000003" hidden="1" customHeight="1" x14ac:dyDescent="0.25">
      <c r="AA53" s="44" t="s">
        <v>25</v>
      </c>
      <c r="AB53" s="51">
        <v>2825.79</v>
      </c>
      <c r="AE53" s="44" t="s">
        <v>1</v>
      </c>
      <c r="AF53" s="44" t="s">
        <v>1</v>
      </c>
      <c r="AG53" s="44" t="s">
        <v>1</v>
      </c>
      <c r="AH53" s="51">
        <f ca="1">COUNTIF(AE53,"Yok")*(0)
+COUNTIF(AE53,"Askerlik Yardımı")*($AB$40/AY83)
+COUNTIF(AE53,"Cenaze Yardımı (Anne-Baba)")*($AB$41+$AB$41*0.00759)
+COUNTIF(AE53,"Cenaze Yardımı (Eş-Çocuk)")*($AB$42+$AB$42*0.00759)
+COUNTIF(AE53,"Cenaze Yardımı (İşçi-İş Kazası Sonucu)")*($AB$43+$AB$43*0.00759)
+COUNTIF(AE53,"Cenaze Yardımı (İşçi-Tabii Sebepler Sonucu)")*($AB$44+$AB$44*0.00759)
+COUNTIF(AE53,"Doğal Afet Yardımı")*($AB$45+$AB$45*0.00759)
+COUNTIF(AE53,"Eğitim Yardımı (Çocuk-İlköğretim)")*($AB$46/AY83)
+COUNTIF(AE53,"Eğitim Yardımı (Çocuk-Ortaöğretim)")*($AB$47/AY83)
+COUNTIF(AE53,"Eğitim Yardımı (Çocuk-Lise)")*($AB$48/AY83)
+COUNTIF(AE53,"Eğitim Yardımı (Çocuk-Yükseköğretim)")*($AB$49/AY83)
+COUNTIF(AE53,"Eğitim Yardımı (İşçi-Lise)")*($AB$50/AY83)
+COUNTIF(AE53,"Eğitim Yardımı (İşçi-Yükseköğretim)")*($AB$51/AY83)
+COUNTIF(AE53,"Evlilik Yardımı")*($AB$52+$AB$52*0.00759)
+COUNTIF(AE53,"Gıda Yardımı")*($AB$53/AY83)
+COUNTIF(AE53,"İş Kazası veya Meslek Hastalığı Tazminatı")*($AB$54+$AB$54*0.00759)
+COUNTIF(AF53,"Yok")*(0)
+COUNTIF(AF53,"Askerlik Yardımı")*($AB$40/AY83)
+COUNTIF(AF53,"Cenaze Yardımı (Anne-Baba)")*($AB$41+$AB$41*0.00759)
+COUNTIF(AF53,"Cenaze Yardımı (Eş-Çocuk)")*($AB$42+$AB$42*0.00759)
+COUNTIF(AF53,"Cenaze Yardımı (İşçi-İş Kazası Sonucu)")*($AB$43+$AB$43*0.00759)
+COUNTIF(AF53,"Cenaze Yardımı (İşçi-Tabii Sebepler Sonucu)")*($AB$44+$AB$44*0.00759)
+COUNTIF(AF53,"Doğal Afet Yardımı")*($AB$45+$AB$45*0.00759)
+COUNTIF(AF53,"Eğitim Yardımı (Çocuk-İlköğretim)")*($AB$46/AY83)
+COUNTIF(AF53,"Eğitim Yardımı (Çocuk-Ortaöğretim)")*($AB$47/AY83)
+COUNTIF(AF53,"Eğitim Yardımı (Çocuk-Lise)")*($AB$48/AY83)
+COUNTIF(AF53,"Eğitim Yardımı (Çocuk-Yükseköğretim)")*($AB$49/AY83)
+COUNTIF(AF53,"Eğitim Yardımı (İşçi-Lise)")*($AB$50/AY83)
+COUNTIF(AF53,"Eğitim Yardımı (İşçi-Yükseköğretim)")*($AB$51/AY83)
+COUNTIF(AF53,"Evlilik Yardımı")*($AB$52+$AB$52*0.00759)
+COUNTIF(AF53,"Gıda Yardımı")*($AB$53/AY83)
+COUNTIF(AF53,"İş Kazası veya Meslek Hastalığı Tazminatı")*($AB$54+$AB$54*0.00759)
+COUNTIF(AG53,"Yok")*(0)
+COUNTIF(AG53,"Askerlik Yardımı")*($AB$40/AY83)
+COUNTIF(AG53,"Cenaze Yardımı (Anne-Baba)")*($AB$41+$AB$41*0.00759)
+COUNTIF(AG53,"Cenaze Yardımı (Eş-Çocuk)")*($AB$42+$AB$42*0.00759)
+COUNTIF(AG53,"Cenaze Yardımı (İşçi-İş Kazası Sonucu)")*($AB$43+$AB$43*0.00759)
+COUNTIF(AG53,"Cenaze Yardımı (İşçi-Tabii Sebepler Sonucu)")*($AB$44+$AB$44*0.00759)
+COUNTIF(AG53,"Doğal Afet Yardımı")*($AB$45+$AB$45*0.00759)
+COUNTIF(AG53,"Eğitim Yardımı (Çocuk-İlköğretim)")*($AB$46/AY83)
+COUNTIF(AG53,"Eğitim Yardımı (Çocuk-Ortaöğretim)")*($AB$47/AY83)
+COUNTIF(AG53,"Eğitim Yardımı (Çocuk-Lise)")*($AB$48/AY83)
+COUNTIF(AG53,"Eğitim Yardımı (Çocuk-Yükseköğretim)")*($AB$49/AY83)
+COUNTIF(AG53,"Eğitim Yardımı (İşçi-Lise)")*($AB$50/AY83)
+COUNTIF(AG53,"Eğitim Yardımı (İşçi-Yükseköğretim)")*($AB$51/AY83)
+COUNTIF(AG53,"Evlilik Yardımı")*($AB$52+$AB$52*0.00759)
+COUNTIF(AG53,"Gıda Yardımı")*($AB$53/AY83)
+COUNTIF(AG53,"İş Kazası veya Meslek Hastalığı Tazminatı")*($AB$54+$AB$54*0.00759)</f>
        <v>0</v>
      </c>
      <c r="AI53" s="51">
        <f>COUNTIF(AE53,"Yok")*(0)
+COUNTIF(AE53,"Askerlik Yardımı")*(0)
+COUNTIF(AE53,"Cenaze Yardımı (Anne-Baba)")*($AB$41+$AB$41*0.00759)
+COUNTIF(AE53,"Cenaze Yardımı (Eş-Çocuk)")*($AB$42+$AB$42*0.00759)
+COUNTIF(AE53,"Cenaze Yardımı (İşçi-İş Kazası Sonucu)")*($AB$43+$AB$43*0.00759)
+COUNTIF(AE53,"Cenaze Yardımı (İşçi-Tabii Sebepler Sonucu)")*($AB$44+$AB$44*0.00759)
+COUNTIF(AE53,"Doğal Afet Yardımı")*($AB$45+$AB$45*0.00759)
+COUNTIF(AE53,"Eğitim Yardımı (Çocuk-İlköğretim)")*(0)
+COUNTIF(AE53,"Eğitim Yardımı (Çocuk-Ortaöğretim)")*(0)
+COUNTIF(AE53,"Eğitim Yardımı (Çocuk-Lise)")*(0)
+COUNTIF(AE53,"Eğitim Yardımı (Çocuk-Yükseköğretim)")*(0)
+COUNTIF(AE53,"Eğitim Yardımı (İşçi-Lise)")*(0)
+COUNTIF(AE53,"Eğitim Yardımı (İşçi-Yükseköğretim)")*(0)
+COUNTIF(AE53,"Evlilik Yardımı")*($AB$52+$AB$52*0.00759)
+COUNTIF(AE53,"Gıda Yardımı")*(0)
+COUNTIF(AE53,"İş Kazası veya Meslek Hastalığı Tazminatı")*($AB$54+$AB$54*0.00759)
+COUNTIF(AF53,"Yok")*(0)
+COUNTIF(AF53,"Askerlik Yardımı")*(0)
+COUNTIF(AF53,"Cenaze Yardımı (Anne-Baba)")*($AB$41+$AB$41*0.00759)
+COUNTIF(AF53,"Cenaze Yardımı (Eş-Çocuk)")*($AB$42+$AB$42*0.00759)
+COUNTIF(AF53,"Cenaze Yardımı (İşçi-İş Kazası Sonucu)")*($AB$43+$AB$43*0.00759)
+COUNTIF(AF53,"Cenaze Yardımı (İşçi-Tabii Sebepler Sonucu)")*($AB$44+$AB$44*0.00759)
+COUNTIF(AF53,"Doğal Afet Yardımı")*($AB$45+$AB$45*0.00759)
+COUNTIF(AF53,"Eğitim Yardımı (Çocuk-İlköğretim)")*(0)
+COUNTIF(AF53,"Eğitim Yardımı (Çocuk-Ortaöğretim)")*(0)
+COUNTIF(AF53,"Eğitim Yardımı (Çocuk-Lise)")*(0)
+COUNTIF(AF53,"Eğitim Yardımı (Çocuk-Yükseköğretim)")*(0)
+COUNTIF(AF53,"Eğitim Yardımı (İşçi-Lise)")*(0)
+COUNTIF(AF53,"Eğitim Yardımı (İşçi-Yükseköğretim)")*(0)
+COUNTIF(AF53,"Evlilik Yardımı")*($AB$52+$AB$52*0.00759)
+COUNTIF(AF53,"Gıda Yardımı")*(0)
+COUNTIF(AF53,"İş Kazası veya Meslek Hastalığı Tazminatı")*($AB$54+$AB$54*0.00759)
+COUNTIF(AG53,"Yok")*(0)
+COUNTIF(AG53,"Askerlik Yardımı")*(0)
+COUNTIF(AG53,"Cenaze Yardımı (Anne-Baba)")*($AB$41+$AB$41*0.00759)
+COUNTIF(AG53,"Cenaze Yardımı (Eş-Çocuk)")*($AB$42+$AB$42*0.00759)
+COUNTIF(AG53,"Cenaze Yardımı (İşçi-İş Kazası Sonucu)")*($AB$43+$AB$43*0.00759)
+COUNTIF(AG53,"Cenaze Yardımı (İşçi-Tabii Sebepler Sonucu)")*($AB$44+$AB$44*0.00759)
+COUNTIF(AG53,"Doğal Afet Yardımı")*($AB$45+$AB$45*0.00759)
+COUNTIF(AG53,"Eğitim Yardımı (Çocuk-İlköğretim)")*(0)
+COUNTIF(AG53,"Eğitim Yardımı (Çocuk-Ortaöğretim)")*(0)
+COUNTIF(AG53,"Eğitim Yardımı (Çocuk-Lise)")*(0)
+COUNTIF(AG53,"Eğitim Yardımı (Çocuk-Yükseköğretim)")*(0)
+COUNTIF(AG53,"Eğitim Yardımı (İşçi-Lise)")*(0)
+COUNTIF(AG53,"Eğitim Yardımı (İşçi-Yükseköğretim)")*(0)
+COUNTIF(AG53,"Evlilik Yardımı")*($AB$52+$AB$52*0.00759)
+COUNTIF(AG53,"Gıda Yardımı")*(0)
+COUNTIF(AG53,"İş Kazası veya Meslek Hastalığı Tazminatı")*($AB$54+$AB$54*0.00759)</f>
        <v>0</v>
      </c>
      <c r="AJ53" s="51">
        <f>COUNTIF(AE53,"Yok")*(0)
+COUNTIF(AE53,"Askerlik Yardımı")*($AB$40)
+COUNTIF(AE53,"Cenaze Yardımı (Anne-Baba)")*($AB$41)
+COUNTIF(AE53,"Cenaze Yardımı (Eş-Çocuk)")*($AB$42)
+COUNTIF(AE53,"Cenaze Yardımı (İşçi-İş Kazası Sonucu)")*($AB$43)
+COUNTIF(AE53,"Cenaze Yardımı (İşçi-Tabii Sebepler Sonucu)")*($AB$44)
+COUNTIF(AE53,"Doğal Afet Yardımı")*($AB$45)
+COUNTIF(AE53,"Eğitim Yardımı (Çocuk-İlköğretim)")*($AB$46)
+COUNTIF(AE53,"Eğitim Yardımı (Çocuk-Ortaöğretim)")*($AB$47)
+COUNTIF(AE53,"Eğitim Yardımı (Çocuk-Lise)")*($AB$48)
+COUNTIF(AE53,"Eğitim Yardımı (Çocuk-Yükseköğretim)")*($AB$49)
+COUNTIF(AE53,"Eğitim Yardımı (İşçi-Lise)")*($AB$50)
+COUNTIF(AE53,"Eğitim Yardımı (İşçi-Yükseköğretim)")*($AB$51)
+COUNTIF(AE53,"Evlilik Yardımı")*($AB$52)
+COUNTIF(AE53,"Gıda Yardımı")*($AB$53)
+COUNTIF(AE53,"İş Kazası veya Meslek Hastalığı Tazminatı")*($AB$54)
+COUNTIF(AF53,"Yok")*(0)
+COUNTIF(AF53,"Askerlik Yardımı")*($AB$40)
+COUNTIF(AF53,"Cenaze Yardımı (Anne-Baba)")*($AB$41)
+COUNTIF(AF53,"Cenaze Yardımı (Eş-Çocuk)")*($AB$42)
+COUNTIF(AF53,"Cenaze Yardımı (İşçi-İş Kazası Sonucu)")*($AB$43)
+COUNTIF(AF53,"Cenaze Yardımı (İşçi-Tabii Sebepler Sonucu)")*($AB$44)
+COUNTIF(AF53,"Doğal Afet Yardımı")*($AB$45)
+COUNTIF(AF53,"Eğitim Yardımı (Çocuk-İlköğretim)")*($AB$46)
+COUNTIF(AF53,"Eğitim Yardımı (Çocuk-Ortaöğretim)")*($AB$47)
+COUNTIF(AF53,"Eğitim Yardımı (Çocuk-Lise)")*($AB$48)
+COUNTIF(AF53,"Eğitim Yardımı (Çocuk-Yükseköğretim)")*($AB$49)
+COUNTIF(AF53,"Eğitim Yardımı (İşçi-Lise)")*($AB$50)
+COUNTIF(AF53,"Eğitim Yardımı (İşçi-Yükseköğretim)")*($AB$51)
+COUNTIF(AF53,"Evlilik Yardımı")*($AB$52)
+COUNTIF(AF53,"Gıda Yardımı")*($AB$53)
+COUNTIF(AF53,"İş Kazası veya Meslek Hastalığı Tazminatı")*($AB$54)
+COUNTIF(AG53,"Yok")*(0)
+COUNTIF(AG53,"Askerlik Yardımı")*($AB$40)
+COUNTIF(AG53,"Cenaze Yardımı (Anne-Baba)")*($AB$41)
+COUNTIF(AG53,"Cenaze Yardımı (Eş-Çocuk)")*($AB$42)
+COUNTIF(AG53,"Cenaze Yardımı (İşçi-İş Kazası Sonucu)")*($AB$43)
+COUNTIF(AG53,"Cenaze Yardımı (İşçi-Tabii Sebepler Sonucu)")*($AB$44)
+COUNTIF(AG53,"Doğal Afet Yardımı")*($AB$45)
+COUNTIF(AG53,"Eğitim Yardımı (Çocuk-İlköğretim)")*($AB$46)
+COUNTIF(AG53,"Eğitim Yardımı (Çocuk-Ortaöğretim)")*($AB$47)
+COUNTIF(AG53,"Eğitim Yardımı (Çocuk-Lise)")*($AB$48)
+COUNTIF(AG53,"Eğitim Yardımı (Çocuk-Yükseköğretim)")*($AB$49)
+COUNTIF(AG53,"Eğitim Yardımı (İşçi-Lise)")*($AB$50)
+COUNTIF(AG53,"Eğitim Yardımı (İşçi-Yükseköğretim)")*($AB$51)
+COUNTIF(AG53,"Evlilik Yardımı")*($AB$52)
+COUNTIF(AG53,"Gıda Yardımı")*($AB$53)
+COUNTIF(AG53,"İş Kazası veya Meslek Hastalığı Tazminatı")*($AB$54)</f>
        <v>0</v>
      </c>
      <c r="AK53" s="44" t="s">
        <v>1</v>
      </c>
      <c r="AL53" s="32">
        <f>COUNTIF(AK53,"Var")*(E25*0.9*-1)</f>
        <v>0</v>
      </c>
      <c r="AM53" s="32">
        <f t="shared" si="67"/>
        <v>0</v>
      </c>
      <c r="AN53" s="51">
        <f ca="1">(AK83*L25+AO53)*-1</f>
        <v>0</v>
      </c>
      <c r="AO53" s="51">
        <f>(AO25+AQ25+AS25+AG39+AI39-AK11)*(L25*-1)</f>
        <v>0</v>
      </c>
      <c r="AP53" s="51">
        <f t="shared" ca="1" si="68"/>
        <v>0</v>
      </c>
      <c r="BD53" s="31">
        <v>51</v>
      </c>
      <c r="BE53" s="35">
        <v>25.5</v>
      </c>
      <c r="BF53" s="54" t="s">
        <v>0</v>
      </c>
    </row>
    <row r="54" spans="27:58" ht="39.950000000000003" hidden="1" customHeight="1" x14ac:dyDescent="0.25">
      <c r="AA54" s="44" t="s">
        <v>22</v>
      </c>
      <c r="AB54" s="51">
        <v>35000</v>
      </c>
      <c r="AE54" s="44" t="s">
        <v>1</v>
      </c>
      <c r="AF54" s="44" t="s">
        <v>1</v>
      </c>
      <c r="AG54" s="44" t="s">
        <v>1</v>
      </c>
      <c r="AH54" s="51">
        <f ca="1">COUNTIF(AE54,"Yok")*(0)
+COUNTIF(AE54,"Askerlik Yardımı")*($AB$40/AY84)
+COUNTIF(AE54,"Cenaze Yardımı (Anne-Baba)")*($AB$41+$AB$41*0.00759)
+COUNTIF(AE54,"Cenaze Yardımı (Eş-Çocuk)")*($AB$42+$AB$42*0.00759)
+COUNTIF(AE54,"Cenaze Yardımı (İşçi-İş Kazası Sonucu)")*($AB$43+$AB$43*0.00759)
+COUNTIF(AE54,"Cenaze Yardımı (İşçi-Tabii Sebepler Sonucu)")*($AB$44+$AB$44*0.00759)
+COUNTIF(AE54,"Doğal Afet Yardımı")*($AB$45+$AB$45*0.00759)
+COUNTIF(AE54,"Eğitim Yardımı (Çocuk-İlköğretim)")*($AB$46/AY84)
+COUNTIF(AE54,"Eğitim Yardımı (Çocuk-Ortaöğretim)")*($AB$47/AY84)
+COUNTIF(AE54,"Eğitim Yardımı (Çocuk-Lise)")*($AB$48/AY84)
+COUNTIF(AE54,"Eğitim Yardımı (Çocuk-Yükseköğretim)")*($AB$49/AY84)
+COUNTIF(AE54,"Eğitim Yardımı (İşçi-Lise)")*($AB$50/AY84)
+COUNTIF(AE54,"Eğitim Yardımı (İşçi-Yükseköğretim)")*($AB$51/AY84)
+COUNTIF(AE54,"Evlilik Yardımı")*($AB$52+$AB$52*0.00759)
+COUNTIF(AE54,"Gıda Yardımı")*($AB$53/AY84)
+COUNTIF(AE54,"İş Kazası veya Meslek Hastalığı Tazminatı")*($AB$54+$AB$54*0.00759)
+COUNTIF(AF54,"Yok")*(0)
+COUNTIF(AF54,"Askerlik Yardımı")*($AB$40/AY84)
+COUNTIF(AF54,"Cenaze Yardımı (Anne-Baba)")*($AB$41+$AB$41*0.00759)
+COUNTIF(AF54,"Cenaze Yardımı (Eş-Çocuk)")*($AB$42+$AB$42*0.00759)
+COUNTIF(AF54,"Cenaze Yardımı (İşçi-İş Kazası Sonucu)")*($AB$43+$AB$43*0.00759)
+COUNTIF(AF54,"Cenaze Yardımı (İşçi-Tabii Sebepler Sonucu)")*($AB$44+$AB$44*0.00759)
+COUNTIF(AF54,"Doğal Afet Yardımı")*($AB$45+$AB$45*0.00759)
+COUNTIF(AF54,"Eğitim Yardımı (Çocuk-İlköğretim)")*($AB$46/AY84)
+COUNTIF(AF54,"Eğitim Yardımı (Çocuk-Ortaöğretim)")*($AB$47/AY84)
+COUNTIF(AF54,"Eğitim Yardımı (Çocuk-Lise)")*($AB$48/AY84)
+COUNTIF(AF54,"Eğitim Yardımı (Çocuk-Yükseköğretim)")*($AB$49/AY84)
+COUNTIF(AF54,"Eğitim Yardımı (İşçi-Lise)")*($AB$50/AY84)
+COUNTIF(AF54,"Eğitim Yardımı (İşçi-Yükseköğretim)")*($AB$51/AY84)
+COUNTIF(AF54,"Evlilik Yardımı")*($AB$52+$AB$52*0.00759)
+COUNTIF(AF54,"Gıda Yardımı")*($AB$53/AY84)
+COUNTIF(AF54,"İş Kazası veya Meslek Hastalığı Tazminatı")*($AB$54+$AB$54*0.00759)
+COUNTIF(AG54,"Yok")*(0)
+COUNTIF(AG54,"Askerlik Yardımı")*($AB$40/AY84)
+COUNTIF(AG54,"Cenaze Yardımı (Anne-Baba)")*($AB$41+$AB$41*0.00759)
+COUNTIF(AG54,"Cenaze Yardımı (Eş-Çocuk)")*($AB$42+$AB$42*0.00759)
+COUNTIF(AG54,"Cenaze Yardımı (İşçi-İş Kazası Sonucu)")*($AB$43+$AB$43*0.00759)
+COUNTIF(AG54,"Cenaze Yardımı (İşçi-Tabii Sebepler Sonucu)")*($AB$44+$AB$44*0.00759)
+COUNTIF(AG54,"Doğal Afet Yardımı")*($AB$45+$AB$45*0.00759)
+COUNTIF(AG54,"Eğitim Yardımı (Çocuk-İlköğretim)")*($AB$46/AY84)
+COUNTIF(AG54,"Eğitim Yardımı (Çocuk-Ortaöğretim)")*($AB$47/AY84)
+COUNTIF(AG54,"Eğitim Yardımı (Çocuk-Lise)")*($AB$48/AY84)
+COUNTIF(AG54,"Eğitim Yardımı (Çocuk-Yükseköğretim)")*($AB$49/AY84)
+COUNTIF(AG54,"Eğitim Yardımı (İşçi-Lise)")*($AB$50/AY84)
+COUNTIF(AG54,"Eğitim Yardımı (İşçi-Yükseköğretim)")*($AB$51/AY84)
+COUNTIF(AG54,"Evlilik Yardımı")*($AB$52+$AB$52*0.00759)
+COUNTIF(AG54,"Gıda Yardımı")*($AB$53/AY84)
+COUNTIF(AG54,"İş Kazası veya Meslek Hastalığı Tazminatı")*($AB$54+$AB$54*0.00759)</f>
        <v>0</v>
      </c>
      <c r="AI54" s="51">
        <f>COUNTIF(AE54,"Yok")*(0)
+COUNTIF(AE54,"Askerlik Yardımı")*(0)
+COUNTIF(AE54,"Cenaze Yardımı (Anne-Baba)")*($AB$41+$AB$41*0.00759)
+COUNTIF(AE54,"Cenaze Yardımı (Eş-Çocuk)")*($AB$42+$AB$42*0.00759)
+COUNTIF(AE54,"Cenaze Yardımı (İşçi-İş Kazası Sonucu)")*($AB$43+$AB$43*0.00759)
+COUNTIF(AE54,"Cenaze Yardımı (İşçi-Tabii Sebepler Sonucu)")*($AB$44+$AB$44*0.00759)
+COUNTIF(AE54,"Doğal Afet Yardımı")*($AB$45+$AB$45*0.00759)
+COUNTIF(AE54,"Eğitim Yardımı (Çocuk-İlköğretim)")*(0)
+COUNTIF(AE54,"Eğitim Yardımı (Çocuk-Ortaöğretim)")*(0)
+COUNTIF(AE54,"Eğitim Yardımı (Çocuk-Lise)")*(0)
+COUNTIF(AE54,"Eğitim Yardımı (Çocuk-Yükseköğretim)")*(0)
+COUNTIF(AE54,"Eğitim Yardımı (İşçi-Lise)")*(0)
+COUNTIF(AE54,"Eğitim Yardımı (İşçi-Yükseköğretim)")*(0)
+COUNTIF(AE54,"Evlilik Yardımı")*($AB$52+$AB$52*0.00759)
+COUNTIF(AE54,"Gıda Yardımı")*(0)
+COUNTIF(AE54,"İş Kazası veya Meslek Hastalığı Tazminatı")*($AB$54+$AB$54*0.00759)
+COUNTIF(AF54,"Yok")*(0)
+COUNTIF(AF54,"Askerlik Yardımı")*(0)
+COUNTIF(AF54,"Cenaze Yardımı (Anne-Baba)")*($AB$41+$AB$41*0.00759)
+COUNTIF(AF54,"Cenaze Yardımı (Eş-Çocuk)")*($AB$42+$AB$42*0.00759)
+COUNTIF(AF54,"Cenaze Yardımı (İşçi-İş Kazası Sonucu)")*($AB$43+$AB$43*0.00759)
+COUNTIF(AF54,"Cenaze Yardımı (İşçi-Tabii Sebepler Sonucu)")*($AB$44+$AB$44*0.00759)
+COUNTIF(AF54,"Doğal Afet Yardımı")*($AB$45+$AB$45*0.00759)
+COUNTIF(AF54,"Eğitim Yardımı (Çocuk-İlköğretim)")*(0)
+COUNTIF(AF54,"Eğitim Yardımı (Çocuk-Ortaöğretim)")*(0)
+COUNTIF(AF54,"Eğitim Yardımı (Çocuk-Lise)")*(0)
+COUNTIF(AF54,"Eğitim Yardımı (Çocuk-Yükseköğretim)")*(0)
+COUNTIF(AF54,"Eğitim Yardımı (İşçi-Lise)")*(0)
+COUNTIF(AF54,"Eğitim Yardımı (İşçi-Yükseköğretim)")*(0)
+COUNTIF(AF54,"Evlilik Yardımı")*($AB$52+$AB$52*0.00759)
+COUNTIF(AF54,"Gıda Yardımı")*(0)
+COUNTIF(AF54,"İş Kazası veya Meslek Hastalığı Tazminatı")*($AB$54+$AB$54*0.00759)
+COUNTIF(AG54,"Yok")*(0)
+COUNTIF(AG54,"Askerlik Yardımı")*(0)
+COUNTIF(AG54,"Cenaze Yardımı (Anne-Baba)")*($AB$41+$AB$41*0.00759)
+COUNTIF(AG54,"Cenaze Yardımı (Eş-Çocuk)")*($AB$42+$AB$42*0.00759)
+COUNTIF(AG54,"Cenaze Yardımı (İşçi-İş Kazası Sonucu)")*($AB$43+$AB$43*0.00759)
+COUNTIF(AG54,"Cenaze Yardımı (İşçi-Tabii Sebepler Sonucu)")*($AB$44+$AB$44*0.00759)
+COUNTIF(AG54,"Doğal Afet Yardımı")*($AB$45+$AB$45*0.00759)
+COUNTIF(AG54,"Eğitim Yardımı (Çocuk-İlköğretim)")*(0)
+COUNTIF(AG54,"Eğitim Yardımı (Çocuk-Ortaöğretim)")*(0)
+COUNTIF(AG54,"Eğitim Yardımı (Çocuk-Lise)")*(0)
+COUNTIF(AG54,"Eğitim Yardımı (Çocuk-Yükseköğretim)")*(0)
+COUNTIF(AG54,"Eğitim Yardımı (İşçi-Lise)")*(0)
+COUNTIF(AG54,"Eğitim Yardımı (İşçi-Yükseköğretim)")*(0)
+COUNTIF(AG54,"Evlilik Yardımı")*($AB$52+$AB$52*0.00759)
+COUNTIF(AG54,"Gıda Yardımı")*(0)
+COUNTIF(AG54,"İş Kazası veya Meslek Hastalığı Tazminatı")*($AB$54+$AB$54*0.00759)</f>
        <v>0</v>
      </c>
      <c r="AJ54" s="51">
        <f>COUNTIF(AE54,"Yok")*(0)
+COUNTIF(AE54,"Askerlik Yardımı")*($AB$40)
+COUNTIF(AE54,"Cenaze Yardımı (Anne-Baba)")*($AB$41)
+COUNTIF(AE54,"Cenaze Yardımı (Eş-Çocuk)")*($AB$42)
+COUNTIF(AE54,"Cenaze Yardımı (İşçi-İş Kazası Sonucu)")*($AB$43)
+COUNTIF(AE54,"Cenaze Yardımı (İşçi-Tabii Sebepler Sonucu)")*($AB$44)
+COUNTIF(AE54,"Doğal Afet Yardımı")*($AB$45)
+COUNTIF(AE54,"Eğitim Yardımı (Çocuk-İlköğretim)")*($AB$46)
+COUNTIF(AE54,"Eğitim Yardımı (Çocuk-Ortaöğretim)")*($AB$47)
+COUNTIF(AE54,"Eğitim Yardımı (Çocuk-Lise)")*($AB$48)
+COUNTIF(AE54,"Eğitim Yardımı (Çocuk-Yükseköğretim)")*($AB$49)
+COUNTIF(AE54,"Eğitim Yardımı (İşçi-Lise)")*($AB$50)
+COUNTIF(AE54,"Eğitim Yardımı (İşçi-Yükseköğretim)")*($AB$51)
+COUNTIF(AE54,"Evlilik Yardımı")*($AB$52)
+COUNTIF(AE54,"Gıda Yardımı")*($AB$53)
+COUNTIF(AE54,"İş Kazası veya Meslek Hastalığı Tazminatı")*($AB$54)
+COUNTIF(AF54,"Yok")*(0)
+COUNTIF(AF54,"Askerlik Yardımı")*($AB$40)
+COUNTIF(AF54,"Cenaze Yardımı (Anne-Baba)")*($AB$41)
+COUNTIF(AF54,"Cenaze Yardımı (Eş-Çocuk)")*($AB$42)
+COUNTIF(AF54,"Cenaze Yardımı (İşçi-İş Kazası Sonucu)")*($AB$43)
+COUNTIF(AF54,"Cenaze Yardımı (İşçi-Tabii Sebepler Sonucu)")*($AB$44)
+COUNTIF(AF54,"Doğal Afet Yardımı")*($AB$45)
+COUNTIF(AF54,"Eğitim Yardımı (Çocuk-İlköğretim)")*($AB$46)
+COUNTIF(AF54,"Eğitim Yardımı (Çocuk-Ortaöğretim)")*($AB$47)
+COUNTIF(AF54,"Eğitim Yardımı (Çocuk-Lise)")*($AB$48)
+COUNTIF(AF54,"Eğitim Yardımı (Çocuk-Yükseköğretim)")*($AB$49)
+COUNTIF(AF54,"Eğitim Yardımı (İşçi-Lise)")*($AB$50)
+COUNTIF(AF54,"Eğitim Yardımı (İşçi-Yükseköğretim)")*($AB$51)
+COUNTIF(AF54,"Evlilik Yardımı")*($AB$52)
+COUNTIF(AF54,"Gıda Yardımı")*($AB$53)
+COUNTIF(AF54,"İş Kazası veya Meslek Hastalığı Tazminatı")*($AB$54)
+COUNTIF(AG54,"Yok")*(0)
+COUNTIF(AG54,"Askerlik Yardımı")*($AB$40)
+COUNTIF(AG54,"Cenaze Yardımı (Anne-Baba)")*($AB$41)
+COUNTIF(AG54,"Cenaze Yardımı (Eş-Çocuk)")*($AB$42)
+COUNTIF(AG54,"Cenaze Yardımı (İşçi-İş Kazası Sonucu)")*($AB$43)
+COUNTIF(AG54,"Cenaze Yardımı (İşçi-Tabii Sebepler Sonucu)")*($AB$44)
+COUNTIF(AG54,"Doğal Afet Yardımı")*($AB$45)
+COUNTIF(AG54,"Eğitim Yardımı (Çocuk-İlköğretim)")*($AB$46)
+COUNTIF(AG54,"Eğitim Yardımı (Çocuk-Ortaöğretim)")*($AB$47)
+COUNTIF(AG54,"Eğitim Yardımı (Çocuk-Lise)")*($AB$48)
+COUNTIF(AG54,"Eğitim Yardımı (Çocuk-Yükseköğretim)")*($AB$49)
+COUNTIF(AG54,"Eğitim Yardımı (İşçi-Lise)")*($AB$50)
+COUNTIF(AG54,"Eğitim Yardımı (İşçi-Yükseköğretim)")*($AB$51)
+COUNTIF(AG54,"Evlilik Yardımı")*($AB$52)
+COUNTIF(AG54,"Gıda Yardımı")*($AB$53)
+COUNTIF(AG54,"İş Kazası veya Meslek Hastalığı Tazminatı")*($AB$54)</f>
        <v>0</v>
      </c>
      <c r="AK54" s="44" t="s">
        <v>1</v>
      </c>
      <c r="AL54" s="32">
        <f>COUNTIF(AK54,"Var")*(E26*0.9*-1)</f>
        <v>0</v>
      </c>
      <c r="AM54" s="32">
        <f t="shared" si="67"/>
        <v>0</v>
      </c>
      <c r="AN54" s="51">
        <f ca="1">(AK84*L26+AO54)*-1</f>
        <v>0</v>
      </c>
      <c r="AO54" s="51">
        <f>(AO26+AQ26+AS26+AG40+AI40-AK12)*(L26*-1)</f>
        <v>0</v>
      </c>
      <c r="AP54" s="51">
        <f t="shared" ca="1" si="68"/>
        <v>0</v>
      </c>
      <c r="BD54" s="31">
        <v>52</v>
      </c>
      <c r="BE54" s="35">
        <v>26</v>
      </c>
      <c r="BF54" s="54" t="s">
        <v>0</v>
      </c>
    </row>
    <row r="55" spans="27:58" ht="39.950000000000003" hidden="1" customHeight="1" x14ac:dyDescent="0.25">
      <c r="AE55" s="37" t="s">
        <v>0</v>
      </c>
      <c r="AF55" s="37" t="s">
        <v>0</v>
      </c>
      <c r="AG55" s="37" t="s">
        <v>0</v>
      </c>
      <c r="AH55" s="32">
        <f t="shared" ref="AH55" ca="1" si="69">(AH43+AH44+AH45+AH46+AH47+AH48+AH49+AH50+AH51+AH52+AH53+AH54)</f>
        <v>0</v>
      </c>
      <c r="AI55" s="32">
        <f t="shared" ref="AI55" si="70">(AI43+AI44+AI45+AI46+AI47+AI48+AI49+AI50+AI51+AI52+AI53+AI54)</f>
        <v>0</v>
      </c>
      <c r="AJ55" s="32">
        <f t="shared" ref="AJ55" si="71">(AJ43+AJ44+AJ45+AJ46+AJ47+AJ48+AJ49+AJ50+AJ51+AJ52+AJ53+AJ54)</f>
        <v>0</v>
      </c>
      <c r="AK55" s="37" t="s">
        <v>0</v>
      </c>
      <c r="AL55" s="32">
        <f t="shared" ref="AL55:AM55" si="72">(AL43+AL44+AL45+AL46+AL47+AL48+AL49+AL50+AL51+AL52+AL53+AL54)</f>
        <v>0</v>
      </c>
      <c r="AM55" s="32">
        <f t="shared" si="72"/>
        <v>0</v>
      </c>
      <c r="AN55" s="32">
        <f t="shared" ref="AN55:AP55" ca="1" si="73">(AN43+AN44+AN45+AN46+AN47+AN48+AN49+AN50+AN51+AN52+AN53+AN54)</f>
        <v>0</v>
      </c>
      <c r="AO55" s="32">
        <f t="shared" si="73"/>
        <v>0</v>
      </c>
      <c r="AP55" s="32">
        <f t="shared" ca="1" si="73"/>
        <v>0</v>
      </c>
      <c r="BD55" s="31">
        <v>53</v>
      </c>
      <c r="BE55" s="35">
        <v>26.5</v>
      </c>
      <c r="BF55" s="54" t="s">
        <v>0</v>
      </c>
    </row>
    <row r="56" spans="27:58" ht="39.950000000000003" hidden="1" customHeight="1" x14ac:dyDescent="0.25">
      <c r="AE56" s="37" t="s">
        <v>0</v>
      </c>
      <c r="AF56" s="37" t="s">
        <v>0</v>
      </c>
      <c r="AG56" s="37" t="s">
        <v>0</v>
      </c>
      <c r="AH56" s="32">
        <f t="shared" ref="AH56" ca="1" si="74">AH55/12</f>
        <v>0</v>
      </c>
      <c r="AI56" s="32">
        <f t="shared" ref="AI56" si="75">AI55/12</f>
        <v>0</v>
      </c>
      <c r="AJ56" s="32">
        <f t="shared" ref="AJ56" si="76">AJ55/12</f>
        <v>0</v>
      </c>
      <c r="AK56" s="37" t="s">
        <v>0</v>
      </c>
      <c r="AL56" s="32">
        <f t="shared" ref="AL56:AM56" si="77">(AL55/12)</f>
        <v>0</v>
      </c>
      <c r="AM56" s="32">
        <f t="shared" si="77"/>
        <v>0</v>
      </c>
      <c r="AN56" s="32">
        <f t="shared" ref="AN56:AP56" ca="1" si="78">(AN55/12)</f>
        <v>0</v>
      </c>
      <c r="AO56" s="32">
        <f t="shared" si="78"/>
        <v>0</v>
      </c>
      <c r="AP56" s="32">
        <f t="shared" ca="1" si="78"/>
        <v>0</v>
      </c>
      <c r="BD56" s="31">
        <v>54</v>
      </c>
      <c r="BE56" s="35">
        <v>27</v>
      </c>
      <c r="BF56" s="54" t="s">
        <v>0</v>
      </c>
    </row>
    <row r="57" spans="27:58" ht="39.950000000000003" hidden="1" customHeight="1" x14ac:dyDescent="0.25">
      <c r="AV57" s="32">
        <f>(0)</f>
        <v>0</v>
      </c>
      <c r="AW57" s="55">
        <f>(0%)</f>
        <v>0</v>
      </c>
      <c r="BD57" s="31">
        <v>55</v>
      </c>
      <c r="BE57" s="35">
        <v>27.5</v>
      </c>
      <c r="BF57" s="54" t="s">
        <v>0</v>
      </c>
    </row>
    <row r="58" spans="27:58" ht="39.950000000000003" hidden="1" customHeight="1" x14ac:dyDescent="0.25">
      <c r="AE58" s="32">
        <f>($AC$8)</f>
        <v>33030</v>
      </c>
      <c r="AF58" s="32">
        <f>(AE58)</f>
        <v>33030</v>
      </c>
      <c r="AG58" s="32">
        <f>(AE58-AF58)</f>
        <v>0</v>
      </c>
      <c r="AH58" s="32">
        <f t="shared" ref="AH58:AH69" si="79">(AG58*0.00759*-1)</f>
        <v>0</v>
      </c>
      <c r="AI58" s="32">
        <f>(AE58*0.00759)</f>
        <v>250.69770000000003</v>
      </c>
      <c r="AJ58" s="32">
        <f t="shared" ref="AJ58:AJ69" si="80">(AE58)</f>
        <v>33030</v>
      </c>
      <c r="AK58" s="32">
        <f>(0)</f>
        <v>0</v>
      </c>
      <c r="AL58" s="32">
        <f>(AJ58-AK58)</f>
        <v>33030</v>
      </c>
      <c r="AM58" s="32">
        <f>(AL58*0.14*-1)</f>
        <v>-4624.2000000000007</v>
      </c>
      <c r="AN58" s="32">
        <f>(AL58*0.01*-1)</f>
        <v>-330.3</v>
      </c>
      <c r="AO58" s="56">
        <v>0.15</v>
      </c>
      <c r="AP58" s="32">
        <v>0</v>
      </c>
      <c r="AQ58" s="32">
        <v>190000</v>
      </c>
      <c r="AR58" s="32">
        <v>0</v>
      </c>
      <c r="AS58" s="32">
        <f t="shared" ref="AS58:AS69" si="81">(AE58+AM58+AN58)</f>
        <v>28075.5</v>
      </c>
      <c r="AT58" s="32">
        <f>(0)</f>
        <v>0</v>
      </c>
      <c r="AU58" s="32">
        <f>(AS58-AT58)</f>
        <v>28075.5</v>
      </c>
      <c r="AV58" s="32">
        <f>SUM(AU$58:$AU58)</f>
        <v>28075.5</v>
      </c>
      <c r="AW58" s="55">
        <f>IF(AV58&lt;=$AQ$58,$AO$58,
IF(AV58&gt;$AQ$60,
IF(AV58&gt;$AQ$61,$AO$62,$AO$61),
IF(AV58&lt;$AQ$59,$AO$59,$AO$60)))</f>
        <v>0.15</v>
      </c>
      <c r="AX58" s="44">
        <f>IF(AW58-AW57=0,0,1)</f>
        <v>1</v>
      </c>
      <c r="AY58" s="57">
        <f>IF(AX58=0,AW58,(VLOOKUP($AW58,$AO$58:$AR$62,2,0)-AV57)/AU58*AW57+(AV58-VLOOKUP($AW58,$AO$58:$AR$62,2,0))/AU58*AW58)</f>
        <v>0.15</v>
      </c>
      <c r="AZ58" s="32">
        <f>(ROUND(AU58*AY58,2)+VLOOKUP(AW58,$AO$58:$AR$62,4,0))</f>
        <v>4211.33</v>
      </c>
      <c r="BA58" s="57">
        <f>(100+(100*0.00759*-1)+(100*0.01*-1)+(100*0.01*-1)+(100+100*0.14*-1+100*0.01*-1)*AY58*-1)/100</f>
        <v>0.84491000000000005</v>
      </c>
      <c r="BB58" s="32">
        <f t="shared" ref="BB58:BB69" si="82">AE58</f>
        <v>33030</v>
      </c>
      <c r="BC58" s="32">
        <f t="shared" ref="BC58:BC69" si="83">AE58+AH58+AM58+AN58</f>
        <v>28075.5</v>
      </c>
      <c r="BD58" s="31">
        <v>56</v>
      </c>
      <c r="BE58" s="35">
        <v>28</v>
      </c>
      <c r="BF58" s="54" t="s">
        <v>0</v>
      </c>
    </row>
    <row r="59" spans="27:58" ht="39.950000000000003" hidden="1" customHeight="1" x14ac:dyDescent="0.25">
      <c r="AE59" s="32">
        <f>($AC$8)</f>
        <v>33030</v>
      </c>
      <c r="AF59" s="32">
        <f t="shared" ref="AF59:AF69" si="84">(AE59)</f>
        <v>33030</v>
      </c>
      <c r="AG59" s="32">
        <f t="shared" ref="AG59:AG69" si="85">(AE59-AF59)</f>
        <v>0</v>
      </c>
      <c r="AH59" s="32">
        <f t="shared" si="79"/>
        <v>0</v>
      </c>
      <c r="AI59" s="32">
        <f t="shared" ref="AI59:AI69" si="86">(AE59*0.00759)</f>
        <v>250.69770000000003</v>
      </c>
      <c r="AJ59" s="32">
        <f t="shared" si="80"/>
        <v>33030</v>
      </c>
      <c r="AK59" s="32">
        <f>(0)</f>
        <v>0</v>
      </c>
      <c r="AL59" s="32">
        <f t="shared" ref="AL59:AL69" si="87">(AJ59-AK59)</f>
        <v>33030</v>
      </c>
      <c r="AM59" s="32">
        <f t="shared" ref="AM59:AM69" si="88">(AL59*0.14*-1)</f>
        <v>-4624.2000000000007</v>
      </c>
      <c r="AN59" s="32">
        <f t="shared" ref="AN59:AN69" si="89">(AL59*0.01*-1)</f>
        <v>-330.3</v>
      </c>
      <c r="AO59" s="56">
        <v>0.2</v>
      </c>
      <c r="AP59" s="32">
        <f>$AQ$58</f>
        <v>190000</v>
      </c>
      <c r="AQ59" s="32">
        <v>400000</v>
      </c>
      <c r="AR59" s="32">
        <f>(AQ58-AP58)*AO58+AR58</f>
        <v>28500</v>
      </c>
      <c r="AS59" s="32">
        <f t="shared" si="81"/>
        <v>28075.5</v>
      </c>
      <c r="AT59" s="32">
        <f>(0)</f>
        <v>0</v>
      </c>
      <c r="AU59" s="32">
        <f t="shared" ref="AU59:AU69" si="90">(AS59-AT59)</f>
        <v>28075.5</v>
      </c>
      <c r="AV59" s="32">
        <f>SUM(AU$58:$AU59)</f>
        <v>56151</v>
      </c>
      <c r="AW59" s="55">
        <f>IF(AV59&lt;=$AQ$58,$AO$58,
IF(AV59&gt;$AQ$60,
IF(AV59&gt;$AQ$61,$AO$62,$AO$61),
IF(AV59&lt;$AQ$59,$AO$59,$AO$60)))</f>
        <v>0.15</v>
      </c>
      <c r="AX59" s="44">
        <f t="shared" ref="AX59:AX69" si="91">IF(AW59-AW58=0,0,1)</f>
        <v>0</v>
      </c>
      <c r="AY59" s="57">
        <f>IF(AX59=0,AW59,(VLOOKUP($AW59,$AO$58:$AR$62,2,0)-AV58)/AU59*AW58+(AV59-VLOOKUP($AW59,$AO$58:$AR$62,2,0))/AU59*AW59)</f>
        <v>0.15</v>
      </c>
      <c r="AZ59" s="32">
        <f>(ROUND(AU59*AY59,2))</f>
        <v>4211.33</v>
      </c>
      <c r="BA59" s="57">
        <f t="shared" ref="BA59:BA69" si="92">(100+(100*0.00759*-1)+(100*0.01*-1)+(100*0.01*-1)+(100+100*0.14*-1+100*0.01*-1)*AY59*-1)/100</f>
        <v>0.84491000000000005</v>
      </c>
      <c r="BB59" s="32">
        <f t="shared" si="82"/>
        <v>33030</v>
      </c>
      <c r="BC59" s="32">
        <f t="shared" si="83"/>
        <v>28075.5</v>
      </c>
      <c r="BD59" s="31">
        <v>57</v>
      </c>
      <c r="BE59" s="35">
        <v>28.5</v>
      </c>
      <c r="BF59" s="54" t="s">
        <v>0</v>
      </c>
    </row>
    <row r="60" spans="27:58" ht="39.950000000000003" hidden="1" customHeight="1" x14ac:dyDescent="0.25">
      <c r="AE60" s="32">
        <f>($AC$8)</f>
        <v>33030</v>
      </c>
      <c r="AF60" s="32">
        <f t="shared" si="84"/>
        <v>33030</v>
      </c>
      <c r="AG60" s="32">
        <f t="shared" si="85"/>
        <v>0</v>
      </c>
      <c r="AH60" s="32">
        <f t="shared" si="79"/>
        <v>0</v>
      </c>
      <c r="AI60" s="32">
        <f t="shared" si="86"/>
        <v>250.69770000000003</v>
      </c>
      <c r="AJ60" s="32">
        <f t="shared" si="80"/>
        <v>33030</v>
      </c>
      <c r="AK60" s="32">
        <f>(0)</f>
        <v>0</v>
      </c>
      <c r="AL60" s="32">
        <f t="shared" si="87"/>
        <v>33030</v>
      </c>
      <c r="AM60" s="32">
        <f t="shared" si="88"/>
        <v>-4624.2000000000007</v>
      </c>
      <c r="AN60" s="32">
        <f t="shared" si="89"/>
        <v>-330.3</v>
      </c>
      <c r="AO60" s="56">
        <v>0.27</v>
      </c>
      <c r="AP60" s="32">
        <f>$AQ$59</f>
        <v>400000</v>
      </c>
      <c r="AQ60" s="32">
        <v>1500000</v>
      </c>
      <c r="AR60" s="32">
        <f>(AQ59-AP59)*AO59+AR59</f>
        <v>70500</v>
      </c>
      <c r="AS60" s="32">
        <f t="shared" si="81"/>
        <v>28075.5</v>
      </c>
      <c r="AT60" s="32">
        <f>(0)</f>
        <v>0</v>
      </c>
      <c r="AU60" s="32">
        <f t="shared" si="90"/>
        <v>28075.5</v>
      </c>
      <c r="AV60" s="32">
        <f>SUM(AU$58:$AU60)</f>
        <v>84226.5</v>
      </c>
      <c r="AW60" s="55">
        <f>IF(AV60&lt;=$AQ$58,$AO$58,
IF(AV60&gt;$AQ$60,
IF(AV60&gt;$AQ$61,$AO$62,$AO$61),
IF(AV60&lt;$AQ$59,$AO$59,$AO$60)))</f>
        <v>0.15</v>
      </c>
      <c r="AX60" s="44">
        <f t="shared" si="91"/>
        <v>0</v>
      </c>
      <c r="AY60" s="57">
        <f>IF(AX60=0,AW60,(VLOOKUP($AW60,$AO$58:$AR$62,2,0)-AV59)/AU60*AW59+(AV60-VLOOKUP($AW60,$AO$58:$AR$62,2,0))/AU60*AW60)</f>
        <v>0.15</v>
      </c>
      <c r="AZ60" s="32">
        <f t="shared" ref="AZ60:AZ69" si="93">(ROUND(AU60*AY60,2))</f>
        <v>4211.33</v>
      </c>
      <c r="BA60" s="57">
        <f t="shared" si="92"/>
        <v>0.84491000000000005</v>
      </c>
      <c r="BB60" s="32">
        <f t="shared" si="82"/>
        <v>33030</v>
      </c>
      <c r="BC60" s="32">
        <f t="shared" si="83"/>
        <v>28075.5</v>
      </c>
      <c r="BD60" s="31">
        <v>58</v>
      </c>
      <c r="BE60" s="35">
        <v>29</v>
      </c>
      <c r="BF60" s="54" t="s">
        <v>0</v>
      </c>
    </row>
    <row r="61" spans="27:58" ht="39.950000000000003" hidden="1" customHeight="1" x14ac:dyDescent="0.25">
      <c r="AE61" s="32">
        <f>($AC$8)</f>
        <v>33030</v>
      </c>
      <c r="AF61" s="32">
        <f t="shared" si="84"/>
        <v>33030</v>
      </c>
      <c r="AG61" s="32">
        <f t="shared" si="85"/>
        <v>0</v>
      </c>
      <c r="AH61" s="32">
        <f t="shared" si="79"/>
        <v>0</v>
      </c>
      <c r="AI61" s="32">
        <f t="shared" si="86"/>
        <v>250.69770000000003</v>
      </c>
      <c r="AJ61" s="32">
        <f t="shared" si="80"/>
        <v>33030</v>
      </c>
      <c r="AK61" s="32">
        <f>(0)</f>
        <v>0</v>
      </c>
      <c r="AL61" s="32">
        <f t="shared" si="87"/>
        <v>33030</v>
      </c>
      <c r="AM61" s="32">
        <f t="shared" si="88"/>
        <v>-4624.2000000000007</v>
      </c>
      <c r="AN61" s="32">
        <f t="shared" si="89"/>
        <v>-330.3</v>
      </c>
      <c r="AO61" s="56">
        <v>0.35</v>
      </c>
      <c r="AP61" s="32">
        <f>$AQ$60</f>
        <v>1500000</v>
      </c>
      <c r="AQ61" s="32">
        <v>5300000</v>
      </c>
      <c r="AR61" s="32">
        <f>(AQ60-AP60)*AO60+AR60</f>
        <v>367500</v>
      </c>
      <c r="AS61" s="32">
        <f t="shared" si="81"/>
        <v>28075.5</v>
      </c>
      <c r="AT61" s="32">
        <f>(0)</f>
        <v>0</v>
      </c>
      <c r="AU61" s="32">
        <f t="shared" si="90"/>
        <v>28075.5</v>
      </c>
      <c r="AV61" s="32">
        <f>SUM(AU$58:$AU61)</f>
        <v>112302</v>
      </c>
      <c r="AW61" s="55">
        <f>IF(AV61&lt;=$AQ$58,$AO$58,
IF(AV61&gt;$AQ$60,
IF(AV61&gt;$AQ$61,$AO$62,$AO$61),
IF(AV61&lt;$AQ$59,$AO$59,$AO$60)))</f>
        <v>0.15</v>
      </c>
      <c r="AX61" s="44">
        <f t="shared" si="91"/>
        <v>0</v>
      </c>
      <c r="AY61" s="57">
        <f>IF(AX61=0,AW61,(VLOOKUP($AW61,$AO$58:$AR$62,2,0)-AV60)/AU61*AW60+(AV61-VLOOKUP($AW61,$AO$58:$AR$62,2,0))/AU61*AW61)</f>
        <v>0.15</v>
      </c>
      <c r="AZ61" s="32">
        <f t="shared" si="93"/>
        <v>4211.33</v>
      </c>
      <c r="BA61" s="57">
        <f t="shared" si="92"/>
        <v>0.84491000000000005</v>
      </c>
      <c r="BB61" s="32">
        <f t="shared" si="82"/>
        <v>33030</v>
      </c>
      <c r="BC61" s="32">
        <f t="shared" si="83"/>
        <v>28075.5</v>
      </c>
      <c r="BD61" s="31">
        <v>59</v>
      </c>
      <c r="BE61" s="35">
        <v>29.5</v>
      </c>
      <c r="BF61" s="54" t="s">
        <v>0</v>
      </c>
    </row>
    <row r="62" spans="27:58" ht="39.950000000000003" hidden="1" customHeight="1" x14ac:dyDescent="0.25">
      <c r="AE62" s="32">
        <f>($AC$8)</f>
        <v>33030</v>
      </c>
      <c r="AF62" s="32">
        <f t="shared" si="84"/>
        <v>33030</v>
      </c>
      <c r="AG62" s="32">
        <f t="shared" si="85"/>
        <v>0</v>
      </c>
      <c r="AH62" s="32">
        <f t="shared" si="79"/>
        <v>0</v>
      </c>
      <c r="AI62" s="32">
        <f t="shared" si="86"/>
        <v>250.69770000000003</v>
      </c>
      <c r="AJ62" s="32">
        <f t="shared" si="80"/>
        <v>33030</v>
      </c>
      <c r="AK62" s="32">
        <f>(0)</f>
        <v>0</v>
      </c>
      <c r="AL62" s="32">
        <f t="shared" si="87"/>
        <v>33030</v>
      </c>
      <c r="AM62" s="32">
        <f t="shared" si="88"/>
        <v>-4624.2000000000007</v>
      </c>
      <c r="AN62" s="32">
        <f t="shared" si="89"/>
        <v>-330.3</v>
      </c>
      <c r="AO62" s="56">
        <v>0.4</v>
      </c>
      <c r="AP62" s="58">
        <f>$AQ$61</f>
        <v>5300000</v>
      </c>
      <c r="AQ62" s="32">
        <v>999999999</v>
      </c>
      <c r="AR62" s="32">
        <f>(AQ61-AP61)*AO61+AR61</f>
        <v>1697500</v>
      </c>
      <c r="AS62" s="32">
        <f t="shared" si="81"/>
        <v>28075.5</v>
      </c>
      <c r="AT62" s="32">
        <f>(0)</f>
        <v>0</v>
      </c>
      <c r="AU62" s="32">
        <f t="shared" si="90"/>
        <v>28075.5</v>
      </c>
      <c r="AV62" s="32">
        <f>SUM(AU$58:$AU62)</f>
        <v>140377.5</v>
      </c>
      <c r="AW62" s="55">
        <f>IF(AV62&lt;=$AQ$58,$AO$58,
IF(AV62&gt;$AQ$60,
IF(AV62&gt;$AQ$61,$AO$62,$AO$61),
IF(AV62&lt;$AQ$59,$AO$59,$AO$60)))</f>
        <v>0.15</v>
      </c>
      <c r="AX62" s="44">
        <f t="shared" si="91"/>
        <v>0</v>
      </c>
      <c r="AY62" s="57">
        <f>IF(AX62=0,AW62,(VLOOKUP($AW62,$AO$58:$AR$62,2,0)-AV61)/AU62*AW61+(AV62-VLOOKUP($AW62,$AO$58:$AR$62,2,0))/AU62*AW62)</f>
        <v>0.15</v>
      </c>
      <c r="AZ62" s="32">
        <f t="shared" si="93"/>
        <v>4211.33</v>
      </c>
      <c r="BA62" s="57">
        <f t="shared" si="92"/>
        <v>0.84491000000000005</v>
      </c>
      <c r="BB62" s="32">
        <f t="shared" si="82"/>
        <v>33030</v>
      </c>
      <c r="BC62" s="32">
        <f t="shared" si="83"/>
        <v>28075.5</v>
      </c>
      <c r="BD62" s="31">
        <v>60</v>
      </c>
      <c r="BE62" s="35">
        <v>30</v>
      </c>
      <c r="BF62" s="54" t="s">
        <v>0</v>
      </c>
    </row>
    <row r="63" spans="27:58" ht="39.950000000000003" hidden="1" customHeight="1" x14ac:dyDescent="0.25">
      <c r="AE63" s="32">
        <f>($AC$8)</f>
        <v>33030</v>
      </c>
      <c r="AF63" s="32">
        <f t="shared" si="84"/>
        <v>33030</v>
      </c>
      <c r="AG63" s="32">
        <f t="shared" si="85"/>
        <v>0</v>
      </c>
      <c r="AH63" s="32">
        <f t="shared" si="79"/>
        <v>0</v>
      </c>
      <c r="AI63" s="32">
        <f t="shared" si="86"/>
        <v>250.69770000000003</v>
      </c>
      <c r="AJ63" s="32">
        <f t="shared" si="80"/>
        <v>33030</v>
      </c>
      <c r="AK63" s="32">
        <f>(0)</f>
        <v>0</v>
      </c>
      <c r="AL63" s="32">
        <f t="shared" si="87"/>
        <v>33030</v>
      </c>
      <c r="AM63" s="32">
        <f t="shared" si="88"/>
        <v>-4624.2000000000007</v>
      </c>
      <c r="AN63" s="32">
        <f t="shared" si="89"/>
        <v>-330.3</v>
      </c>
      <c r="AS63" s="32">
        <f t="shared" si="81"/>
        <v>28075.5</v>
      </c>
      <c r="AT63" s="32">
        <f>(0)</f>
        <v>0</v>
      </c>
      <c r="AU63" s="32">
        <f t="shared" si="90"/>
        <v>28075.5</v>
      </c>
      <c r="AV63" s="32">
        <f>SUM(AU$58:$AU63)</f>
        <v>168453</v>
      </c>
      <c r="AW63" s="55">
        <f>IF(AV63&lt;=$AQ$58,$AO$58,
IF(AV63&gt;$AQ$60,
IF(AV63&gt;$AQ$61,$AO$62,$AO$61),
IF(AV63&lt;$AQ$59,$AO$59,$AO$60)))</f>
        <v>0.15</v>
      </c>
      <c r="AX63" s="44">
        <f t="shared" si="91"/>
        <v>0</v>
      </c>
      <c r="AY63" s="57">
        <f>IF(AX63=0,AW63,(VLOOKUP($AW63,$AO$58:$AR$62,2,0)-AV62)/AU63*AW62+(AV63-VLOOKUP($AW63,$AO$58:$AR$62,2,0))/AU63*AW63)</f>
        <v>0.15</v>
      </c>
      <c r="AZ63" s="32">
        <f t="shared" si="93"/>
        <v>4211.33</v>
      </c>
      <c r="BA63" s="57">
        <f t="shared" si="92"/>
        <v>0.84491000000000005</v>
      </c>
      <c r="BB63" s="32">
        <f t="shared" si="82"/>
        <v>33030</v>
      </c>
      <c r="BC63" s="32">
        <f t="shared" si="83"/>
        <v>28075.5</v>
      </c>
      <c r="BD63" s="31">
        <v>61</v>
      </c>
      <c r="BE63" s="35">
        <v>30.5</v>
      </c>
      <c r="BF63" s="54" t="s">
        <v>0</v>
      </c>
    </row>
    <row r="64" spans="27:58" ht="39.950000000000003" hidden="1" customHeight="1" x14ac:dyDescent="0.25">
      <c r="AE64" s="32">
        <f>($AD$8)</f>
        <v>33030</v>
      </c>
      <c r="AF64" s="32">
        <f t="shared" si="84"/>
        <v>33030</v>
      </c>
      <c r="AG64" s="32">
        <f t="shared" si="85"/>
        <v>0</v>
      </c>
      <c r="AH64" s="32">
        <f t="shared" si="79"/>
        <v>0</v>
      </c>
      <c r="AI64" s="32">
        <f t="shared" si="86"/>
        <v>250.69770000000003</v>
      </c>
      <c r="AJ64" s="32">
        <f t="shared" si="80"/>
        <v>33030</v>
      </c>
      <c r="AK64" s="32">
        <f>(0)</f>
        <v>0</v>
      </c>
      <c r="AL64" s="32">
        <f t="shared" si="87"/>
        <v>33030</v>
      </c>
      <c r="AM64" s="32">
        <f t="shared" si="88"/>
        <v>-4624.2000000000007</v>
      </c>
      <c r="AN64" s="32">
        <f t="shared" si="89"/>
        <v>-330.3</v>
      </c>
      <c r="AS64" s="32">
        <f t="shared" si="81"/>
        <v>28075.5</v>
      </c>
      <c r="AT64" s="32">
        <f>(0)</f>
        <v>0</v>
      </c>
      <c r="AU64" s="32">
        <f t="shared" si="90"/>
        <v>28075.5</v>
      </c>
      <c r="AV64" s="32">
        <f>SUM(AU$58:$AU64)</f>
        <v>196528.5</v>
      </c>
      <c r="AW64" s="55">
        <f>IF(AV64&lt;=$AQ$58,$AO$58,
IF(AV64&gt;$AQ$60,
IF(AV64&gt;$AQ$61,$AO$62,$AO$61),
IF(AV64&lt;$AQ$59,$AO$59,$AO$60)))</f>
        <v>0.2</v>
      </c>
      <c r="AX64" s="44">
        <f t="shared" si="91"/>
        <v>1</v>
      </c>
      <c r="AY64" s="57">
        <f>IF(AX64=0,AW64,(VLOOKUP($AW64,$AO$58:$AR$62,2,0)-AV63)/AU64*AW63+(AV64-VLOOKUP($AW64,$AO$58:$AR$62,2,0))/AU64*AW64)</f>
        <v>0.16162668518815337</v>
      </c>
      <c r="AZ64" s="32">
        <f t="shared" si="93"/>
        <v>4537.75</v>
      </c>
      <c r="BA64" s="57">
        <f t="shared" si="92"/>
        <v>0.83502731759006965</v>
      </c>
      <c r="BB64" s="32">
        <f t="shared" si="82"/>
        <v>33030</v>
      </c>
      <c r="BC64" s="32">
        <f t="shared" si="83"/>
        <v>28075.5</v>
      </c>
      <c r="BD64" s="31">
        <v>62</v>
      </c>
      <c r="BE64" s="35">
        <v>31</v>
      </c>
      <c r="BF64" s="54" t="s">
        <v>0</v>
      </c>
    </row>
    <row r="65" spans="31:58" ht="39.950000000000003" hidden="1" customHeight="1" x14ac:dyDescent="0.25">
      <c r="AE65" s="32">
        <f>($AD$8)</f>
        <v>33030</v>
      </c>
      <c r="AF65" s="32">
        <f t="shared" si="84"/>
        <v>33030</v>
      </c>
      <c r="AG65" s="32">
        <f t="shared" si="85"/>
        <v>0</v>
      </c>
      <c r="AH65" s="32">
        <f t="shared" si="79"/>
        <v>0</v>
      </c>
      <c r="AI65" s="32">
        <f t="shared" si="86"/>
        <v>250.69770000000003</v>
      </c>
      <c r="AJ65" s="32">
        <f t="shared" si="80"/>
        <v>33030</v>
      </c>
      <c r="AK65" s="32">
        <f>(0)</f>
        <v>0</v>
      </c>
      <c r="AL65" s="32">
        <f t="shared" si="87"/>
        <v>33030</v>
      </c>
      <c r="AM65" s="32">
        <f t="shared" si="88"/>
        <v>-4624.2000000000007</v>
      </c>
      <c r="AN65" s="32">
        <f t="shared" si="89"/>
        <v>-330.3</v>
      </c>
      <c r="AS65" s="32">
        <f t="shared" si="81"/>
        <v>28075.5</v>
      </c>
      <c r="AT65" s="32">
        <f>(0)</f>
        <v>0</v>
      </c>
      <c r="AU65" s="32">
        <f t="shared" si="90"/>
        <v>28075.5</v>
      </c>
      <c r="AV65" s="32">
        <f>SUM(AU$58:$AU65)</f>
        <v>224604</v>
      </c>
      <c r="AW65" s="55">
        <f>IF(AV65&lt;=$AQ$58,$AO$58,
IF(AV65&gt;$AQ$60,
IF(AV65&gt;$AQ$61,$AO$62,$AO$61),
IF(AV65&lt;$AQ$59,$AO$59,$AO$60)))</f>
        <v>0.2</v>
      </c>
      <c r="AX65" s="44">
        <f t="shared" si="91"/>
        <v>0</v>
      </c>
      <c r="AY65" s="57">
        <f>IF(AX65=0,AW65,(VLOOKUP($AW65,$AO$58:$AR$62,2,0)-AV64)/AU65*AW64+(AV65-VLOOKUP($AW65,$AO$58:$AR$62,2,0))/AU65*AW65)</f>
        <v>0.2</v>
      </c>
      <c r="AZ65" s="32">
        <f t="shared" si="93"/>
        <v>5615.1</v>
      </c>
      <c r="BA65" s="57">
        <f t="shared" si="92"/>
        <v>0.80240999999999996</v>
      </c>
      <c r="BB65" s="32">
        <f t="shared" si="82"/>
        <v>33030</v>
      </c>
      <c r="BC65" s="32">
        <f t="shared" si="83"/>
        <v>28075.5</v>
      </c>
      <c r="BD65" s="31">
        <v>63</v>
      </c>
      <c r="BE65" s="35">
        <v>31.5</v>
      </c>
      <c r="BF65" s="54" t="s">
        <v>0</v>
      </c>
    </row>
    <row r="66" spans="31:58" ht="39.950000000000003" hidden="1" customHeight="1" x14ac:dyDescent="0.25">
      <c r="AE66" s="32">
        <f>($AD$8)</f>
        <v>33030</v>
      </c>
      <c r="AF66" s="32">
        <f t="shared" si="84"/>
        <v>33030</v>
      </c>
      <c r="AG66" s="32">
        <f t="shared" si="85"/>
        <v>0</v>
      </c>
      <c r="AH66" s="32">
        <f t="shared" si="79"/>
        <v>0</v>
      </c>
      <c r="AI66" s="32">
        <f t="shared" si="86"/>
        <v>250.69770000000003</v>
      </c>
      <c r="AJ66" s="32">
        <f t="shared" si="80"/>
        <v>33030</v>
      </c>
      <c r="AK66" s="32">
        <f>(0)</f>
        <v>0</v>
      </c>
      <c r="AL66" s="32">
        <f t="shared" si="87"/>
        <v>33030</v>
      </c>
      <c r="AM66" s="32">
        <f t="shared" si="88"/>
        <v>-4624.2000000000007</v>
      </c>
      <c r="AN66" s="32">
        <f t="shared" si="89"/>
        <v>-330.3</v>
      </c>
      <c r="AS66" s="32">
        <f t="shared" si="81"/>
        <v>28075.5</v>
      </c>
      <c r="AT66" s="32">
        <f>(0)</f>
        <v>0</v>
      </c>
      <c r="AU66" s="32">
        <f t="shared" si="90"/>
        <v>28075.5</v>
      </c>
      <c r="AV66" s="32">
        <f>SUM(AU$58:$AU66)</f>
        <v>252679.5</v>
      </c>
      <c r="AW66" s="55">
        <f>IF(AV66&lt;=$AQ$58,$AO$58,
IF(AV66&gt;$AQ$60,
IF(AV66&gt;$AQ$61,$AO$62,$AO$61),
IF(AV66&lt;$AQ$59,$AO$59,$AO$60)))</f>
        <v>0.2</v>
      </c>
      <c r="AX66" s="44">
        <f t="shared" si="91"/>
        <v>0</v>
      </c>
      <c r="AY66" s="57">
        <f>IF(AX66=0,AW66,(VLOOKUP($AW66,$AO$58:$AR$62,2,0)-AV65)/AU66*AW65+(AV66-VLOOKUP($AW66,$AO$58:$AR$62,2,0))/AU66*AW66)</f>
        <v>0.2</v>
      </c>
      <c r="AZ66" s="32">
        <f t="shared" si="93"/>
        <v>5615.1</v>
      </c>
      <c r="BA66" s="57">
        <f t="shared" si="92"/>
        <v>0.80240999999999996</v>
      </c>
      <c r="BB66" s="32">
        <f t="shared" si="82"/>
        <v>33030</v>
      </c>
      <c r="BC66" s="32">
        <f t="shared" si="83"/>
        <v>28075.5</v>
      </c>
      <c r="BD66" s="31">
        <v>64</v>
      </c>
      <c r="BE66" s="35">
        <v>32</v>
      </c>
      <c r="BF66" s="54" t="s">
        <v>0</v>
      </c>
    </row>
    <row r="67" spans="31:58" ht="39.950000000000003" hidden="1" customHeight="1" x14ac:dyDescent="0.25">
      <c r="AE67" s="32">
        <f>($AD$8)</f>
        <v>33030</v>
      </c>
      <c r="AF67" s="32">
        <f t="shared" si="84"/>
        <v>33030</v>
      </c>
      <c r="AG67" s="32">
        <f t="shared" si="85"/>
        <v>0</v>
      </c>
      <c r="AH67" s="32">
        <f t="shared" si="79"/>
        <v>0</v>
      </c>
      <c r="AI67" s="32">
        <f t="shared" si="86"/>
        <v>250.69770000000003</v>
      </c>
      <c r="AJ67" s="32">
        <f t="shared" si="80"/>
        <v>33030</v>
      </c>
      <c r="AK67" s="32">
        <f>(0)</f>
        <v>0</v>
      </c>
      <c r="AL67" s="32">
        <f t="shared" si="87"/>
        <v>33030</v>
      </c>
      <c r="AM67" s="32">
        <f t="shared" si="88"/>
        <v>-4624.2000000000007</v>
      </c>
      <c r="AN67" s="32">
        <f t="shared" si="89"/>
        <v>-330.3</v>
      </c>
      <c r="AS67" s="32">
        <f t="shared" si="81"/>
        <v>28075.5</v>
      </c>
      <c r="AT67" s="32">
        <f>(0)</f>
        <v>0</v>
      </c>
      <c r="AU67" s="32">
        <f t="shared" si="90"/>
        <v>28075.5</v>
      </c>
      <c r="AV67" s="32">
        <f>SUM(AU$58:$AU67)</f>
        <v>280755</v>
      </c>
      <c r="AW67" s="55">
        <f>IF(AV67&lt;=$AQ$58,$AO$58,
IF(AV67&gt;$AQ$60,
IF(AV67&gt;$AQ$61,$AO$62,$AO$61),
IF(AV67&lt;$AQ$59,$AO$59,$AO$60)))</f>
        <v>0.2</v>
      </c>
      <c r="AX67" s="44">
        <f t="shared" si="91"/>
        <v>0</v>
      </c>
      <c r="AY67" s="57">
        <f>IF(AX67=0,AW67,(VLOOKUP($AW67,$AO$58:$AR$62,2,0)-AV66)/AU67*AW66+(AV67-VLOOKUP($AW67,$AO$58:$AR$62,2,0))/AU67*AW67)</f>
        <v>0.2</v>
      </c>
      <c r="AZ67" s="32">
        <f t="shared" si="93"/>
        <v>5615.1</v>
      </c>
      <c r="BA67" s="57">
        <f t="shared" si="92"/>
        <v>0.80240999999999996</v>
      </c>
      <c r="BB67" s="32">
        <f t="shared" si="82"/>
        <v>33030</v>
      </c>
      <c r="BC67" s="32">
        <f t="shared" si="83"/>
        <v>28075.5</v>
      </c>
      <c r="BD67" s="31">
        <v>65</v>
      </c>
      <c r="BE67" s="35">
        <v>32.5</v>
      </c>
      <c r="BF67" s="54" t="s">
        <v>0</v>
      </c>
    </row>
    <row r="68" spans="31:58" ht="39.950000000000003" hidden="1" customHeight="1" x14ac:dyDescent="0.25">
      <c r="AE68" s="32">
        <f>($AD$8)</f>
        <v>33030</v>
      </c>
      <c r="AF68" s="32">
        <f t="shared" si="84"/>
        <v>33030</v>
      </c>
      <c r="AG68" s="32">
        <f t="shared" si="85"/>
        <v>0</v>
      </c>
      <c r="AH68" s="32">
        <f t="shared" si="79"/>
        <v>0</v>
      </c>
      <c r="AI68" s="32">
        <f t="shared" si="86"/>
        <v>250.69770000000003</v>
      </c>
      <c r="AJ68" s="32">
        <f t="shared" si="80"/>
        <v>33030</v>
      </c>
      <c r="AK68" s="32">
        <f>(0)</f>
        <v>0</v>
      </c>
      <c r="AL68" s="32">
        <f t="shared" si="87"/>
        <v>33030</v>
      </c>
      <c r="AM68" s="32">
        <f t="shared" si="88"/>
        <v>-4624.2000000000007</v>
      </c>
      <c r="AN68" s="32">
        <f t="shared" si="89"/>
        <v>-330.3</v>
      </c>
      <c r="AS68" s="32">
        <f t="shared" si="81"/>
        <v>28075.5</v>
      </c>
      <c r="AT68" s="32">
        <f>(0)</f>
        <v>0</v>
      </c>
      <c r="AU68" s="32">
        <f t="shared" si="90"/>
        <v>28075.5</v>
      </c>
      <c r="AV68" s="32">
        <f>SUM(AU$58:$AU68)</f>
        <v>308830.5</v>
      </c>
      <c r="AW68" s="55">
        <f>IF(AV68&lt;=$AQ$58,$AO$58,
IF(AV68&gt;$AQ$60,
IF(AV68&gt;$AQ$61,$AO$62,$AO$61),
IF(AV68&lt;$AQ$59,$AO$59,$AO$60)))</f>
        <v>0.2</v>
      </c>
      <c r="AX68" s="44">
        <f t="shared" si="91"/>
        <v>0</v>
      </c>
      <c r="AY68" s="57">
        <f>IF(AX68=0,AW68,(VLOOKUP($AW68,$AO$58:$AR$62,2,0)-AV67)/AU68*AW67+(AV68-VLOOKUP($AW68,$AO$58:$AR$62,2,0))/AU68*AW68)</f>
        <v>0.2</v>
      </c>
      <c r="AZ68" s="32">
        <f t="shared" si="93"/>
        <v>5615.1</v>
      </c>
      <c r="BA68" s="57">
        <f t="shared" si="92"/>
        <v>0.80240999999999996</v>
      </c>
      <c r="BB68" s="32">
        <f t="shared" si="82"/>
        <v>33030</v>
      </c>
      <c r="BC68" s="32">
        <f t="shared" si="83"/>
        <v>28075.5</v>
      </c>
      <c r="BD68" s="31">
        <v>66</v>
      </c>
      <c r="BE68" s="35">
        <v>33</v>
      </c>
      <c r="BF68" s="54" t="s">
        <v>0</v>
      </c>
    </row>
    <row r="69" spans="31:58" ht="39.950000000000003" hidden="1" customHeight="1" x14ac:dyDescent="0.25">
      <c r="AE69" s="32">
        <f>($AD$8)</f>
        <v>33030</v>
      </c>
      <c r="AF69" s="32">
        <f t="shared" si="84"/>
        <v>33030</v>
      </c>
      <c r="AG69" s="32">
        <f t="shared" si="85"/>
        <v>0</v>
      </c>
      <c r="AH69" s="32">
        <f t="shared" si="79"/>
        <v>0</v>
      </c>
      <c r="AI69" s="32">
        <f t="shared" si="86"/>
        <v>250.69770000000003</v>
      </c>
      <c r="AJ69" s="32">
        <f t="shared" si="80"/>
        <v>33030</v>
      </c>
      <c r="AK69" s="32">
        <f>(0)</f>
        <v>0</v>
      </c>
      <c r="AL69" s="32">
        <f t="shared" si="87"/>
        <v>33030</v>
      </c>
      <c r="AM69" s="32">
        <f t="shared" si="88"/>
        <v>-4624.2000000000007</v>
      </c>
      <c r="AN69" s="32">
        <f t="shared" si="89"/>
        <v>-330.3</v>
      </c>
      <c r="AS69" s="32">
        <f t="shared" si="81"/>
        <v>28075.5</v>
      </c>
      <c r="AT69" s="32">
        <f>(0)</f>
        <v>0</v>
      </c>
      <c r="AU69" s="32">
        <f t="shared" si="90"/>
        <v>28075.5</v>
      </c>
      <c r="AV69" s="32">
        <f>SUM(AU$58:$AU69)</f>
        <v>336906</v>
      </c>
      <c r="AW69" s="55">
        <f>IF(AV69&lt;=$AQ$58,$AO$58,
IF(AV69&gt;$AQ$60,
IF(AV69&gt;$AQ$61,$AO$62,$AO$61),
IF(AV69&lt;$AQ$59,$AO$59,$AO$60)))</f>
        <v>0.2</v>
      </c>
      <c r="AX69" s="44">
        <f t="shared" si="91"/>
        <v>0</v>
      </c>
      <c r="AY69" s="57">
        <f>IF(AX69=0,AW69,(VLOOKUP($AW69,$AO$58:$AR$62,2,0)-AV68)/AU69*AW68+(AV69-VLOOKUP($AW69,$AO$58:$AR$62,2,0))/AU69*AW69)</f>
        <v>0.2</v>
      </c>
      <c r="AZ69" s="32">
        <f t="shared" si="93"/>
        <v>5615.1</v>
      </c>
      <c r="BA69" s="57">
        <f t="shared" si="92"/>
        <v>0.80240999999999996</v>
      </c>
      <c r="BB69" s="32">
        <f t="shared" si="82"/>
        <v>33030</v>
      </c>
      <c r="BC69" s="32">
        <f t="shared" si="83"/>
        <v>28075.5</v>
      </c>
      <c r="BD69" s="31">
        <v>67</v>
      </c>
      <c r="BE69" s="35">
        <v>33.5</v>
      </c>
      <c r="BF69" s="54" t="s">
        <v>0</v>
      </c>
    </row>
    <row r="70" spans="31:58" ht="39.950000000000003" hidden="1" customHeight="1" x14ac:dyDescent="0.25">
      <c r="AE70" s="32">
        <f t="shared" ref="AE70" si="94">(AE58+AE59+AE60+AE61+AE62+AE63+AE64+AE65+AE66+AE67+AE68+AE69)</f>
        <v>396360</v>
      </c>
      <c r="AF70" s="32">
        <f t="shared" ref="AF70" si="95">(AF58+AF59+AF60+AF61+AF62+AF63+AF64+AF65+AF66+AF67+AF68+AF69)</f>
        <v>396360</v>
      </c>
      <c r="AG70" s="32">
        <f t="shared" ref="AG70:AI70" si="96">(AG58+AG59+AG60+AG61+AG62+AG63+AG64+AG65+AG66+AG67+AG68+AG69)</f>
        <v>0</v>
      </c>
      <c r="AH70" s="32">
        <f>(AH58+AH59+AH60+AH61+AH62+AH63+AH64+AH65+AH66+AH67+AH68+AH69)</f>
        <v>0</v>
      </c>
      <c r="AI70" s="32">
        <f t="shared" si="96"/>
        <v>3008.3724000000007</v>
      </c>
      <c r="AJ70" s="32">
        <f t="shared" ref="AJ70" si="97">(AJ58+AJ59+AJ60+AJ61+AJ62+AJ63+AJ64+AJ65+AJ66+AJ67+AJ68+AJ69)</f>
        <v>396360</v>
      </c>
      <c r="AK70" s="32">
        <f t="shared" ref="AK70" si="98">(AK58+AK59+AK60+AK61+AK62+AK63+AK64+AK65+AK66+AK67+AK68+AK69)</f>
        <v>0</v>
      </c>
      <c r="AL70" s="32">
        <f t="shared" ref="AL70" si="99">(AL58+AL59+AL60+AL61+AL62+AL63+AL64+AL65+AL66+AL67+AL68+AL69)</f>
        <v>396360</v>
      </c>
      <c r="AM70" s="32">
        <f t="shared" ref="AM70" si="100">(AM58+AM59+AM60+AM61+AM62+AM63+AM64+AM65+AM66+AM67+AM68+AM69)</f>
        <v>-55490.399999999994</v>
      </c>
      <c r="AN70" s="32">
        <f t="shared" ref="AN70" si="101">(AN58+AN59+AN60+AN61+AN62+AN63+AN64+AN65+AN66+AN67+AN68+AN69)</f>
        <v>-3963.6000000000008</v>
      </c>
      <c r="AS70" s="32">
        <f t="shared" ref="AS70" si="102">(AS58+AS59+AS60+AS61+AS62+AS63+AS64+AS65+AS66+AS67+AS68+AS69)</f>
        <v>336906</v>
      </c>
      <c r="AT70" s="32">
        <f t="shared" ref="AT70" si="103">(AT58+AT59+AT60+AT61+AT62+AT63+AT64+AT65+AT66+AT67+AT68+AT69)</f>
        <v>0</v>
      </c>
      <c r="AU70" s="32">
        <f t="shared" ref="AU70" si="104">(AU58+AU59+AU60+AU61+AU62+AU63+AU64+AU65+AU66+AU67+AU68+AU69)</f>
        <v>336906</v>
      </c>
      <c r="AV70" s="37" t="s">
        <v>0</v>
      </c>
      <c r="AW70" s="31" t="s">
        <v>0</v>
      </c>
      <c r="AX70" s="31" t="s">
        <v>0</v>
      </c>
      <c r="AY70" s="31" t="s">
        <v>0</v>
      </c>
      <c r="AZ70" s="32">
        <f t="shared" ref="AZ70" si="105">(AZ58+AZ59+AZ60+AZ61+AZ62+AZ63+AZ64+AZ65+AZ66+AZ67+AZ68+AZ69)</f>
        <v>57881.229999999996</v>
      </c>
      <c r="BA70" s="31" t="s">
        <v>0</v>
      </c>
      <c r="BB70" s="32">
        <f t="shared" ref="BB70" si="106">(BB58+BB59+BB60+BB61+BB62+BB63+BB64+BB65+BB66+BB67+BB68+BB69)</f>
        <v>396360</v>
      </c>
      <c r="BC70" s="32">
        <f t="shared" ref="BC70" si="107">(BC58+BC59+BC60+BC61+BC62+BC63+BC64+BC65+BC66+BC67+BC68+BC69)</f>
        <v>336906</v>
      </c>
      <c r="BD70" s="31">
        <v>68</v>
      </c>
      <c r="BE70" s="35">
        <v>34</v>
      </c>
      <c r="BF70" s="54" t="s">
        <v>0</v>
      </c>
    </row>
    <row r="71" spans="31:58" ht="39.950000000000003" hidden="1" customHeight="1" x14ac:dyDescent="0.25">
      <c r="AE71" s="32">
        <f t="shared" ref="AE71" si="108">(AE70/12)</f>
        <v>33030</v>
      </c>
      <c r="AF71" s="32">
        <f t="shared" ref="AF71" si="109">(AF70/12)</f>
        <v>33030</v>
      </c>
      <c r="AG71" s="32">
        <f t="shared" ref="AG71:AI71" si="110">(AG70/12)</f>
        <v>0</v>
      </c>
      <c r="AH71" s="32">
        <f>(AH70/12)</f>
        <v>0</v>
      </c>
      <c r="AI71" s="32">
        <f t="shared" si="110"/>
        <v>250.69770000000005</v>
      </c>
      <c r="AJ71" s="32">
        <f t="shared" ref="AJ71" si="111">(AJ70/12)</f>
        <v>33030</v>
      </c>
      <c r="AK71" s="32">
        <f t="shared" ref="AK71" si="112">(AK70/12)</f>
        <v>0</v>
      </c>
      <c r="AL71" s="32">
        <f t="shared" ref="AL71" si="113">(AL70/12)</f>
        <v>33030</v>
      </c>
      <c r="AM71" s="32">
        <f t="shared" ref="AM71" si="114">(AM70/12)</f>
        <v>-4624.2</v>
      </c>
      <c r="AN71" s="32">
        <f t="shared" ref="AN71" si="115">(AN70/12)</f>
        <v>-330.30000000000007</v>
      </c>
      <c r="AS71" s="32">
        <f t="shared" ref="AS71" si="116">(AS70/12)</f>
        <v>28075.5</v>
      </c>
      <c r="AT71" s="32">
        <f t="shared" ref="AT71" si="117">(AT70/12)</f>
        <v>0</v>
      </c>
      <c r="AU71" s="32">
        <f t="shared" ref="AU71" si="118">(AU70/12)</f>
        <v>28075.5</v>
      </c>
      <c r="AV71" s="37" t="s">
        <v>0</v>
      </c>
      <c r="AW71" s="37" t="s">
        <v>0</v>
      </c>
      <c r="AX71" s="37" t="s">
        <v>0</v>
      </c>
      <c r="AY71" s="37" t="s">
        <v>0</v>
      </c>
      <c r="AZ71" s="32">
        <f t="shared" ref="AZ71" si="119">(AZ70/12)</f>
        <v>4823.435833333333</v>
      </c>
      <c r="BA71" s="37" t="s">
        <v>0</v>
      </c>
      <c r="BB71" s="32">
        <f t="shared" ref="BB71" si="120">(BB70/12)</f>
        <v>33030</v>
      </c>
      <c r="BC71" s="32">
        <f t="shared" ref="BC71" si="121">(BC70/12)</f>
        <v>28075.5</v>
      </c>
      <c r="BD71" s="31">
        <v>69</v>
      </c>
      <c r="BE71" s="35">
        <v>34.5</v>
      </c>
      <c r="BF71" s="54" t="s">
        <v>0</v>
      </c>
    </row>
    <row r="72" spans="31:58" ht="39.950000000000003" hidden="1" customHeight="1" x14ac:dyDescent="0.25">
      <c r="AQ72" s="32">
        <f>(0)</f>
        <v>0</v>
      </c>
      <c r="AR72" s="55">
        <f>(0%)</f>
        <v>0</v>
      </c>
      <c r="BD72" s="31">
        <v>70</v>
      </c>
      <c r="BE72" s="35">
        <v>35</v>
      </c>
      <c r="BF72" s="54" t="s">
        <v>0</v>
      </c>
    </row>
    <row r="73" spans="31:58" ht="39.950000000000003" hidden="1" customHeight="1" x14ac:dyDescent="0.25">
      <c r="AE73" s="32">
        <f ca="1">(AJ15+AM15+AO15+AQ15+AS15+AG29+AI29+AJ29+AN29+G15+AH43)</f>
        <v>68063.950483417488</v>
      </c>
      <c r="AF73" s="32">
        <f>(AF58+AG1)</f>
        <v>39030</v>
      </c>
      <c r="AG73" s="32">
        <f ca="1">(AE73-AF73)</f>
        <v>29033.950483417488</v>
      </c>
      <c r="AH73" s="32">
        <f t="shared" ref="AH73:AH84" ca="1" si="122">(AG73*0.00759*-1)</f>
        <v>-220.36768416913876</v>
      </c>
      <c r="AI73" s="32">
        <f ca="1">(AE73)</f>
        <v>68063.950483417488</v>
      </c>
      <c r="AJ73" s="32">
        <f>(AK1+AI43)</f>
        <v>6000</v>
      </c>
      <c r="AK73" s="32">
        <f ca="1">IF(AI73-AJ73&gt;=AE58*7.5,AE58*7.5,AI73-AJ73)</f>
        <v>62063.950483417488</v>
      </c>
      <c r="AL73" s="32">
        <f ca="1">(AK73*0.14*-1)</f>
        <v>-8688.9530676784489</v>
      </c>
      <c r="AM73" s="32">
        <f ca="1">(AK73*0.01*-1)</f>
        <v>-620.63950483417489</v>
      </c>
      <c r="AN73" s="32">
        <f t="shared" ref="AN73:AN84" ca="1" si="123">(AE73+AL73+AM73)</f>
        <v>58754.357910904866</v>
      </c>
      <c r="AO73" s="32">
        <f>(AP1+AI43+AM43+AR29)</f>
        <v>6000</v>
      </c>
      <c r="AP73" s="32">
        <f ca="1">(AN73-AO73)</f>
        <v>52754.357910904866</v>
      </c>
      <c r="AQ73" s="32">
        <f ca="1">SUM($AP$73:AP73)</f>
        <v>52754.357910904866</v>
      </c>
      <c r="AR73" s="55">
        <f ca="1">IF(AQ73&lt;=$AQ$58,$AO$58,
IF(AQ73&gt;$AQ$60,
IF(AQ73&gt;$AQ$61,$AO$62,$AO$61),
IF(AQ73&lt;$AQ$59,$AO$59,$AO$60)))</f>
        <v>0.15</v>
      </c>
      <c r="AS73" s="44">
        <f ca="1">IF(AR73-AR72=0,0,1)</f>
        <v>1</v>
      </c>
      <c r="AT73" s="57">
        <f ca="1">(IF(AS73=0,AR73,(VLOOKUP($AR73,$AO$58:$AR$62,2,0)-AQ72)/AP73*AR72+(AQ73-VLOOKUP($AR73,$AO$58:$AR$62,2,0))/AP73*AR73))</f>
        <v>0.15</v>
      </c>
      <c r="AU73" s="32">
        <f ca="1">(ROUND(AP73*AT73,2)*(-1)+VLOOKUP(AR73,$AO$58:$AR$62,4,0)*(-1))</f>
        <v>-7913.15</v>
      </c>
      <c r="AV73" s="32">
        <f ca="1">(AU73+AZ58)</f>
        <v>-3701.8199999999997</v>
      </c>
      <c r="AW73" s="57">
        <f t="shared" ref="AW73:AW84" ca="1" si="124">(100+(100*0.00759*-1)+(100)*AT73*-1)/100</f>
        <v>0.84240999999999999</v>
      </c>
      <c r="AX73" s="57">
        <f>(100+(100*0.00759*-1)+(100*0.14*-1)+(100*0.01*-1))/100</f>
        <v>0.84240999999999999</v>
      </c>
      <c r="AY73" s="57">
        <f t="shared" ref="AY73:AY84" ca="1" si="125">(100+(100*0.00759*-1)+(100*0.14*-1)+(100*0.01*-1)+(100+100*0.14*-1+100*0.01*-1)*AT73*-1)/100</f>
        <v>0.71491000000000005</v>
      </c>
      <c r="BD73" s="31">
        <v>71</v>
      </c>
      <c r="BE73" s="35">
        <v>35.5</v>
      </c>
      <c r="BF73" s="54" t="s">
        <v>0</v>
      </c>
    </row>
    <row r="74" spans="31:58" ht="39.950000000000003" hidden="1" customHeight="1" x14ac:dyDescent="0.25">
      <c r="AE74" s="32">
        <f ca="1">(AJ16+AM16+AO16+AQ16+AS16+AG30+AI30+AJ30+AN30+G16+AH44)</f>
        <v>68448.614287252931</v>
      </c>
      <c r="AF74" s="32">
        <f>(AF59+AG2)</f>
        <v>39030</v>
      </c>
      <c r="AG74" s="32">
        <f t="shared" ref="AG74:AG84" ca="1" si="126">(AE74-AF74)</f>
        <v>29418.614287252931</v>
      </c>
      <c r="AH74" s="32">
        <f t="shared" ca="1" si="122"/>
        <v>-223.28728244024975</v>
      </c>
      <c r="AI74" s="32">
        <f t="shared" ref="AI74:AI84" ca="1" si="127">(AE74)</f>
        <v>68448.614287252931</v>
      </c>
      <c r="AJ74" s="32">
        <f>(AK2+AI44)</f>
        <v>6000</v>
      </c>
      <c r="AK74" s="32">
        <f ca="1">IF(AI74-AJ74&gt;=AE59*7.5,AE59*7.5,AI74-AJ74)</f>
        <v>62448.614287252931</v>
      </c>
      <c r="AL74" s="32">
        <f t="shared" ref="AL74:AL84" ca="1" si="128">(AK74*0.14*-1)</f>
        <v>-8742.8060002154107</v>
      </c>
      <c r="AM74" s="32">
        <f t="shared" ref="AM74:AM84" ca="1" si="129">(AK74*0.01*-1)</f>
        <v>-624.48614287252929</v>
      </c>
      <c r="AN74" s="32">
        <f t="shared" ca="1" si="123"/>
        <v>59081.322144164995</v>
      </c>
      <c r="AO74" s="32">
        <f>(AP2+AI44+AM44+AR30)</f>
        <v>6000</v>
      </c>
      <c r="AP74" s="32">
        <f t="shared" ref="AP74:AP84" ca="1" si="130">(AN74-AO74)</f>
        <v>53081.322144164995</v>
      </c>
      <c r="AQ74" s="32">
        <f ca="1">SUM($AP$73:AP74)</f>
        <v>105835.68005506985</v>
      </c>
      <c r="AR74" s="55">
        <f ca="1">IF(AQ74&lt;=$AQ$58,$AO$58,
IF(AQ74&gt;$AQ$60,
IF(AQ74&gt;$AQ$61,$AO$62,$AO$61),
IF(AQ74&lt;$AQ$59,$AO$59,$AO$60)))</f>
        <v>0.15</v>
      </c>
      <c r="AS74" s="44">
        <f t="shared" ref="AS74:AS84" ca="1" si="131">IF(AR74-AR73=0,0,1)</f>
        <v>0</v>
      </c>
      <c r="AT74" s="57">
        <f ca="1">(IF(AS74=0,AR74,(VLOOKUP($AR74,$AO$58:$AR$62,2,0)-AQ73)/AP74*AR73+(AQ74-VLOOKUP($AR74,$AO$58:$AR$62,2,0))/AP74*AR74))</f>
        <v>0.15</v>
      </c>
      <c r="AU74" s="32">
        <f ca="1">(ROUND(AP74*AT74,2)*(-1))</f>
        <v>-7962.2</v>
      </c>
      <c r="AV74" s="32">
        <f ca="1">(AU74+AZ59)</f>
        <v>-3750.87</v>
      </c>
      <c r="AW74" s="57">
        <f t="shared" ca="1" si="124"/>
        <v>0.84240999999999999</v>
      </c>
      <c r="AX74" s="57">
        <f t="shared" ref="AX74:AX84" si="132">(100+(100*0.00759*-1)+(100*0.14*-1)+(100*0.01*-1))/100</f>
        <v>0.84240999999999999</v>
      </c>
      <c r="AY74" s="57">
        <f t="shared" ca="1" si="125"/>
        <v>0.71491000000000005</v>
      </c>
      <c r="BD74" s="31">
        <v>72</v>
      </c>
      <c r="BE74" s="35">
        <v>36</v>
      </c>
      <c r="BF74" s="54" t="s">
        <v>0</v>
      </c>
    </row>
    <row r="75" spans="31:58" ht="39.950000000000003" hidden="1" customHeight="1" x14ac:dyDescent="0.25">
      <c r="AE75" s="32">
        <f ca="1">(AJ17+AM17+AO17+AQ17+AS17+AG31+AI31+AJ31+AN31+G17+AH45)</f>
        <v>121362.46556674574</v>
      </c>
      <c r="AF75" s="32">
        <f>(AF60+AG3)</f>
        <v>39030</v>
      </c>
      <c r="AG75" s="32">
        <f t="shared" ca="1" si="126"/>
        <v>82332.465566745741</v>
      </c>
      <c r="AH75" s="32">
        <f t="shared" ca="1" si="122"/>
        <v>-624.9034136516002</v>
      </c>
      <c r="AI75" s="32">
        <f t="shared" ca="1" si="127"/>
        <v>121362.46556674574</v>
      </c>
      <c r="AJ75" s="32">
        <f>(AK3+AI45)</f>
        <v>6000</v>
      </c>
      <c r="AK75" s="32">
        <f ca="1">IF(AI75-AJ75&gt;=AE60*7.5,AE60*7.5,AI75-AJ75)</f>
        <v>115362.46556674574</v>
      </c>
      <c r="AL75" s="32">
        <f t="shared" ca="1" si="128"/>
        <v>-16150.745179344405</v>
      </c>
      <c r="AM75" s="32">
        <f t="shared" ca="1" si="129"/>
        <v>-1153.6246556674575</v>
      </c>
      <c r="AN75" s="32">
        <f t="shared" ca="1" si="123"/>
        <v>104058.09573173388</v>
      </c>
      <c r="AO75" s="32">
        <f>(AP3+AI45+AM45+AR31)</f>
        <v>6000</v>
      </c>
      <c r="AP75" s="32">
        <f t="shared" ca="1" si="130"/>
        <v>98058.095731733876</v>
      </c>
      <c r="AQ75" s="32">
        <f ca="1">SUM($AP$73:AP75)</f>
        <v>203893.77578680374</v>
      </c>
      <c r="AR75" s="55">
        <f ca="1">IF(AQ75&lt;=$AQ$58,$AO$58,
IF(AQ75&gt;$AQ$60,
IF(AQ75&gt;$AQ$61,$AO$62,$AO$61),
IF(AQ75&lt;$AQ$59,$AO$59,$AO$60)))</f>
        <v>0.2</v>
      </c>
      <c r="AS75" s="44">
        <f t="shared" ca="1" si="131"/>
        <v>1</v>
      </c>
      <c r="AT75" s="57">
        <f ca="1">(IF(AS75=0,AR75,(VLOOKUP($AR75,$AO$58:$AR$62,2,0)-AQ74)/AP75*AR74+(AQ75-VLOOKUP($AR75,$AO$58:$AR$62,2,0))/AP75*AR75))</f>
        <v>0.15708446135075588</v>
      </c>
      <c r="AU75" s="32">
        <f t="shared" ref="AU75:AU84" ca="1" si="133">(ROUND(AP75*AT75,2)*(-1))</f>
        <v>-15403.4</v>
      </c>
      <c r="AV75" s="32">
        <f ca="1">(AU75+AZ60)</f>
        <v>-11192.07</v>
      </c>
      <c r="AW75" s="57">
        <f t="shared" ca="1" si="124"/>
        <v>0.83532553864924408</v>
      </c>
      <c r="AX75" s="57">
        <f t="shared" si="132"/>
        <v>0.84240999999999999</v>
      </c>
      <c r="AY75" s="57">
        <f t="shared" ca="1" si="125"/>
        <v>0.70888820785185747</v>
      </c>
      <c r="BD75" s="31">
        <v>73</v>
      </c>
      <c r="BE75" s="35">
        <v>36.5</v>
      </c>
      <c r="BF75" s="54" t="s">
        <v>0</v>
      </c>
    </row>
    <row r="76" spans="31:58" ht="39.950000000000003" hidden="1" customHeight="1" x14ac:dyDescent="0.25">
      <c r="AE76" s="32">
        <f ca="1">(AJ18+AM18+AO18+AQ18+AS18+AG32+AI32+AJ32+AN32+G18+AH46)</f>
        <v>69124.855616513727</v>
      </c>
      <c r="AF76" s="32">
        <f>(AF61+AG4)</f>
        <v>39030</v>
      </c>
      <c r="AG76" s="32">
        <f t="shared" ca="1" si="126"/>
        <v>30094.855616513727</v>
      </c>
      <c r="AH76" s="32">
        <f t="shared" ca="1" si="122"/>
        <v>-228.4199541293392</v>
      </c>
      <c r="AI76" s="32">
        <f t="shared" ca="1" si="127"/>
        <v>69124.855616513727</v>
      </c>
      <c r="AJ76" s="32">
        <f>(AK4+AI46)</f>
        <v>6000</v>
      </c>
      <c r="AK76" s="32">
        <f ca="1">IF(AI76-AJ76&gt;=AE61*7.5,AE61*7.5,AI76-AJ76)</f>
        <v>63124.855616513727</v>
      </c>
      <c r="AL76" s="32">
        <f t="shared" ca="1" si="128"/>
        <v>-8837.479786311922</v>
      </c>
      <c r="AM76" s="32">
        <f t="shared" ca="1" si="129"/>
        <v>-631.2485561651373</v>
      </c>
      <c r="AN76" s="32">
        <f t="shared" ca="1" si="123"/>
        <v>59656.127274036669</v>
      </c>
      <c r="AO76" s="32">
        <f>(AP4+AI46+AM46+AR32)</f>
        <v>6000</v>
      </c>
      <c r="AP76" s="32">
        <f t="shared" ca="1" si="130"/>
        <v>53656.127274036669</v>
      </c>
      <c r="AQ76" s="32">
        <f ca="1">SUM($AP$73:AP76)</f>
        <v>257549.90306084041</v>
      </c>
      <c r="AR76" s="55">
        <f ca="1">IF(AQ76&lt;=$AQ$58,$AO$58,
IF(AQ76&gt;$AQ$60,
IF(AQ76&gt;$AQ$61,$AO$62,$AO$61),
IF(AQ76&lt;$AQ$59,$AO$59,$AO$60)))</f>
        <v>0.2</v>
      </c>
      <c r="AS76" s="44">
        <f t="shared" ca="1" si="131"/>
        <v>0</v>
      </c>
      <c r="AT76" s="57">
        <f ca="1">(IF(AS76=0,AR76,(VLOOKUP($AR76,$AO$58:$AR$62,2,0)-AQ75)/AP76*AR75+(AQ76-VLOOKUP($AR76,$AO$58:$AR$62,2,0))/AP76*AR76))</f>
        <v>0.2</v>
      </c>
      <c r="AU76" s="32">
        <f t="shared" ca="1" si="133"/>
        <v>-10731.23</v>
      </c>
      <c r="AV76" s="32">
        <f ca="1">(AU76+AZ61)</f>
        <v>-6519.9</v>
      </c>
      <c r="AW76" s="57">
        <f t="shared" ca="1" si="124"/>
        <v>0.79240999999999995</v>
      </c>
      <c r="AX76" s="57">
        <f t="shared" si="132"/>
        <v>0.84240999999999999</v>
      </c>
      <c r="AY76" s="57">
        <f t="shared" ca="1" si="125"/>
        <v>0.67240999999999995</v>
      </c>
      <c r="BD76" s="31">
        <v>74</v>
      </c>
      <c r="BE76" s="35">
        <v>37</v>
      </c>
      <c r="BF76" s="54" t="s">
        <v>0</v>
      </c>
    </row>
    <row r="77" spans="31:58" ht="39.950000000000003" hidden="1" customHeight="1" x14ac:dyDescent="0.25">
      <c r="AE77" s="32">
        <f ca="1">(AJ19+AM19+AO19+AQ19+AS19+AG33+AI33+AJ33+AN33+G19+AH47)</f>
        <v>69124.855616513727</v>
      </c>
      <c r="AF77" s="32">
        <f>(AF62+AG5)</f>
        <v>39030</v>
      </c>
      <c r="AG77" s="32">
        <f t="shared" ca="1" si="126"/>
        <v>30094.855616513727</v>
      </c>
      <c r="AH77" s="32">
        <f t="shared" ca="1" si="122"/>
        <v>-228.4199541293392</v>
      </c>
      <c r="AI77" s="32">
        <f t="shared" ca="1" si="127"/>
        <v>69124.855616513727</v>
      </c>
      <c r="AJ77" s="32">
        <f>(AK5+AI47)</f>
        <v>6000</v>
      </c>
      <c r="AK77" s="32">
        <f ca="1">IF(AI77-AJ77&gt;=AE62*7.5,AE62*7.5,AI77-AJ77)</f>
        <v>63124.855616513727</v>
      </c>
      <c r="AL77" s="32">
        <f t="shared" ca="1" si="128"/>
        <v>-8837.479786311922</v>
      </c>
      <c r="AM77" s="32">
        <f t="shared" ca="1" si="129"/>
        <v>-631.2485561651373</v>
      </c>
      <c r="AN77" s="32">
        <f t="shared" ca="1" si="123"/>
        <v>59656.127274036669</v>
      </c>
      <c r="AO77" s="32">
        <f>(AP5+AI47+AM47+AR33)</f>
        <v>6000</v>
      </c>
      <c r="AP77" s="32">
        <f t="shared" ca="1" si="130"/>
        <v>53656.127274036669</v>
      </c>
      <c r="AQ77" s="32">
        <f ca="1">SUM($AP$73:AP77)</f>
        <v>311206.03033487708</v>
      </c>
      <c r="AR77" s="55">
        <f ca="1">IF(AQ77&lt;=$AQ$58,$AO$58,
IF(AQ77&gt;$AQ$60,
IF(AQ77&gt;$AQ$61,$AO$62,$AO$61),
IF(AQ77&lt;$AQ$59,$AO$59,$AO$60)))</f>
        <v>0.2</v>
      </c>
      <c r="AS77" s="44">
        <f t="shared" ca="1" si="131"/>
        <v>0</v>
      </c>
      <c r="AT77" s="57">
        <f ca="1">(IF(AS77=0,AR77,(VLOOKUP($AR77,$AO$58:$AR$62,2,0)-AQ76)/AP77*AR76+(AQ77-VLOOKUP($AR77,$AO$58:$AR$62,2,0))/AP77*AR77))</f>
        <v>0.2</v>
      </c>
      <c r="AU77" s="32">
        <f t="shared" ca="1" si="133"/>
        <v>-10731.23</v>
      </c>
      <c r="AV77" s="32">
        <f ca="1">(AU77+AZ62)</f>
        <v>-6519.9</v>
      </c>
      <c r="AW77" s="57">
        <f t="shared" ca="1" si="124"/>
        <v>0.79240999999999995</v>
      </c>
      <c r="AX77" s="57">
        <f t="shared" si="132"/>
        <v>0.84240999999999999</v>
      </c>
      <c r="AY77" s="57">
        <f t="shared" ca="1" si="125"/>
        <v>0.67240999999999995</v>
      </c>
      <c r="BD77" s="31">
        <v>75</v>
      </c>
      <c r="BE77" s="35">
        <v>37.5</v>
      </c>
      <c r="BF77" s="54" t="s">
        <v>0</v>
      </c>
    </row>
    <row r="78" spans="31:58" ht="39.950000000000003" hidden="1" customHeight="1" x14ac:dyDescent="0.25">
      <c r="AE78" s="32">
        <f ca="1">(AJ20+AM20+AO20+AQ20+AS20+AG34+AI34+AJ34+AN34+G20+AH48)</f>
        <v>121657.22349641151</v>
      </c>
      <c r="AF78" s="32">
        <f>(AF63+AG6)</f>
        <v>39030</v>
      </c>
      <c r="AG78" s="32">
        <f t="shared" ca="1" si="126"/>
        <v>82627.223496411505</v>
      </c>
      <c r="AH78" s="32">
        <f t="shared" ca="1" si="122"/>
        <v>-627.14062633776336</v>
      </c>
      <c r="AI78" s="32">
        <f t="shared" ca="1" si="127"/>
        <v>121657.22349641151</v>
      </c>
      <c r="AJ78" s="32">
        <f>(AK6+AI48)</f>
        <v>6000</v>
      </c>
      <c r="AK78" s="32">
        <f ca="1">IF(AI78-AJ78&gt;=AE63*7.5,AE63*7.5,AI78-AJ78)</f>
        <v>115657.22349641151</v>
      </c>
      <c r="AL78" s="32">
        <f t="shared" ca="1" si="128"/>
        <v>-16192.011289497612</v>
      </c>
      <c r="AM78" s="32">
        <f t="shared" ca="1" si="129"/>
        <v>-1156.5722349641151</v>
      </c>
      <c r="AN78" s="32">
        <f t="shared" ca="1" si="123"/>
        <v>104308.63997194977</v>
      </c>
      <c r="AO78" s="32">
        <f>(AP6+AI48+AM48+AR34)</f>
        <v>6000</v>
      </c>
      <c r="AP78" s="32">
        <f t="shared" ca="1" si="130"/>
        <v>98308.639971949771</v>
      </c>
      <c r="AQ78" s="32">
        <f ca="1">SUM($AP$73:AP78)</f>
        <v>409514.67030682683</v>
      </c>
      <c r="AR78" s="55">
        <f ca="1">IF(AQ78&lt;=$AQ$58,$AO$58,
IF(AQ78&gt;$AQ$60,
IF(AQ78&gt;$AQ$61,$AO$62,$AO$61),
IF(AQ78&lt;$AQ$59,$AO$59,$AO$60)))</f>
        <v>0.27</v>
      </c>
      <c r="AS78" s="44">
        <f t="shared" ca="1" si="131"/>
        <v>1</v>
      </c>
      <c r="AT78" s="57">
        <f ca="1">(IF(AS78=0,AR78,(VLOOKUP($AR78,$AO$58:$AR$62,2,0)-AQ77)/AP78*AR77+(AQ78-VLOOKUP($AR78,$AO$58:$AR$62,2,0))/AP78*AR78))</f>
        <v>0.20677485642836591</v>
      </c>
      <c r="AU78" s="32">
        <f t="shared" ca="1" si="133"/>
        <v>-20327.75</v>
      </c>
      <c r="AV78" s="32">
        <f ca="1">(AU78+AZ63)</f>
        <v>-16116.42</v>
      </c>
      <c r="AW78" s="57">
        <f t="shared" ca="1" si="124"/>
        <v>0.78563514357163411</v>
      </c>
      <c r="AX78" s="57">
        <f t="shared" si="132"/>
        <v>0.84240999999999999</v>
      </c>
      <c r="AY78" s="57">
        <f t="shared" ca="1" si="125"/>
        <v>0.66665137203588898</v>
      </c>
      <c r="BD78" s="31">
        <v>76</v>
      </c>
      <c r="BE78" s="35">
        <v>38</v>
      </c>
      <c r="BF78" s="54" t="s">
        <v>0</v>
      </c>
    </row>
    <row r="79" spans="31:58" ht="39.950000000000003" hidden="1" customHeight="1" x14ac:dyDescent="0.25">
      <c r="AE79" s="32">
        <f ca="1">(AJ21+AM21+AO21+AQ21+AS21+AG35+AI35+AJ35+AN35+G21+AH49)</f>
        <v>82077.29676608312</v>
      </c>
      <c r="AF79" s="32">
        <f>(AF64+AG7)</f>
        <v>39030</v>
      </c>
      <c r="AG79" s="32">
        <f t="shared" ca="1" si="126"/>
        <v>43047.29676608312</v>
      </c>
      <c r="AH79" s="32">
        <f t="shared" ca="1" si="122"/>
        <v>-326.72898245457088</v>
      </c>
      <c r="AI79" s="32">
        <f t="shared" ca="1" si="127"/>
        <v>82077.29676608312</v>
      </c>
      <c r="AJ79" s="32">
        <f>(AK7+AI49)</f>
        <v>6000</v>
      </c>
      <c r="AK79" s="32">
        <f ca="1">IF(AI79-AJ79&gt;=AE64*7.5,AE64*7.5,AI79-AJ79)</f>
        <v>76077.29676608312</v>
      </c>
      <c r="AL79" s="32">
        <f t="shared" ca="1" si="128"/>
        <v>-10650.821547251639</v>
      </c>
      <c r="AM79" s="32">
        <f t="shared" ca="1" si="129"/>
        <v>-760.77296766083123</v>
      </c>
      <c r="AN79" s="32">
        <f t="shared" ca="1" si="123"/>
        <v>70665.702251170645</v>
      </c>
      <c r="AO79" s="32">
        <f>(AP7+AI49+AM49+AR35)</f>
        <v>6000</v>
      </c>
      <c r="AP79" s="32">
        <f t="shared" ca="1" si="130"/>
        <v>64665.702251170645</v>
      </c>
      <c r="AQ79" s="32">
        <f ca="1">SUM($AP$73:AP79)</f>
        <v>474180.37255799747</v>
      </c>
      <c r="AR79" s="55">
        <f ca="1">IF(AQ79&lt;=$AQ$58,$AO$58,
IF(AQ79&gt;$AQ$60,
IF(AQ79&gt;$AQ$61,$AO$62,$AO$61),
IF(AQ79&lt;$AQ$59,$AO$59,$AO$60)))</f>
        <v>0.27</v>
      </c>
      <c r="AS79" s="44">
        <f t="shared" ca="1" si="131"/>
        <v>0</v>
      </c>
      <c r="AT79" s="57">
        <f ca="1">(IF(AS79=0,AR79,(VLOOKUP($AR79,$AO$58:$AR$62,2,0)-AQ78)/AP79*AR78+(AQ79-VLOOKUP($AR79,$AO$58:$AR$62,2,0))/AP79*AR79))</f>
        <v>0.27</v>
      </c>
      <c r="AU79" s="32">
        <f t="shared" ca="1" si="133"/>
        <v>-17459.740000000002</v>
      </c>
      <c r="AV79" s="32">
        <f ca="1">(AU79+AZ64)</f>
        <v>-12921.990000000002</v>
      </c>
      <c r="AW79" s="57">
        <f t="shared" ca="1" si="124"/>
        <v>0.72241</v>
      </c>
      <c r="AX79" s="57">
        <f t="shared" si="132"/>
        <v>0.84240999999999999</v>
      </c>
      <c r="AY79" s="57">
        <f t="shared" ca="1" si="125"/>
        <v>0.61290999999999995</v>
      </c>
      <c r="BD79" s="31">
        <v>77</v>
      </c>
      <c r="BE79" s="35">
        <v>38.5</v>
      </c>
      <c r="BF79" s="54" t="s">
        <v>0</v>
      </c>
    </row>
    <row r="80" spans="31:58" ht="39.950000000000003" hidden="1" customHeight="1" x14ac:dyDescent="0.25">
      <c r="AE80" s="32">
        <f ca="1">(AJ22+AM22+AO22+AQ22+AS22+AG36+AI36+AJ36+AN36+G22+AH50)</f>
        <v>82418.292997177399</v>
      </c>
      <c r="AF80" s="32">
        <f>(AF65+AG8)</f>
        <v>39030</v>
      </c>
      <c r="AG80" s="32">
        <f t="shared" ca="1" si="126"/>
        <v>43388.292997177399</v>
      </c>
      <c r="AH80" s="32">
        <f t="shared" ca="1" si="122"/>
        <v>-329.31714384857645</v>
      </c>
      <c r="AI80" s="32">
        <f t="shared" ca="1" si="127"/>
        <v>82418.292997177399</v>
      </c>
      <c r="AJ80" s="32">
        <f>(AK8+AI50)</f>
        <v>6000</v>
      </c>
      <c r="AK80" s="32">
        <f ca="1">IF(AI80-AJ80&gt;=AE65*7.5,AE65*7.5,AI80-AJ80)</f>
        <v>76418.292997177399</v>
      </c>
      <c r="AL80" s="32">
        <f t="shared" ca="1" si="128"/>
        <v>-10698.561019604836</v>
      </c>
      <c r="AM80" s="32">
        <f t="shared" ca="1" si="129"/>
        <v>-764.182929971774</v>
      </c>
      <c r="AN80" s="32">
        <f t="shared" ca="1" si="123"/>
        <v>70955.549047600784</v>
      </c>
      <c r="AO80" s="32">
        <f>(AP8+AI50+AM50+AR36)</f>
        <v>6000</v>
      </c>
      <c r="AP80" s="32">
        <f t="shared" ca="1" si="130"/>
        <v>64955.549047600784</v>
      </c>
      <c r="AQ80" s="32">
        <f ca="1">SUM($AP$73:AP80)</f>
        <v>539135.9216055983</v>
      </c>
      <c r="AR80" s="55">
        <f ca="1">IF(AQ80&lt;=$AQ$58,$AO$58,
IF(AQ80&gt;$AQ$60,
IF(AQ80&gt;$AQ$61,$AO$62,$AO$61),
IF(AQ80&lt;$AQ$59,$AO$59,$AO$60)))</f>
        <v>0.27</v>
      </c>
      <c r="AS80" s="44">
        <f t="shared" ca="1" si="131"/>
        <v>0</v>
      </c>
      <c r="AT80" s="57">
        <f ca="1">(IF(AS80=0,AR80,(VLOOKUP($AR80,$AO$58:$AR$62,2,0)-AQ79)/AP80*AR79+(AQ80-VLOOKUP($AR80,$AO$58:$AR$62,2,0))/AP80*AR80))</f>
        <v>0.27</v>
      </c>
      <c r="AU80" s="32">
        <f t="shared" ca="1" si="133"/>
        <v>-17538</v>
      </c>
      <c r="AV80" s="32">
        <f ca="1">(AU80+AZ65)</f>
        <v>-11922.9</v>
      </c>
      <c r="AW80" s="57">
        <f t="shared" ca="1" si="124"/>
        <v>0.72241</v>
      </c>
      <c r="AX80" s="57">
        <f t="shared" si="132"/>
        <v>0.84240999999999999</v>
      </c>
      <c r="AY80" s="57">
        <f t="shared" ca="1" si="125"/>
        <v>0.61290999999999995</v>
      </c>
      <c r="BD80" s="31">
        <v>78</v>
      </c>
      <c r="BE80" s="35">
        <v>39</v>
      </c>
      <c r="BF80" s="54" t="s">
        <v>0</v>
      </c>
    </row>
    <row r="81" spans="31:58" ht="39.950000000000003" hidden="1" customHeight="1" x14ac:dyDescent="0.25">
      <c r="AE81" s="32">
        <f ca="1">(AJ23+AM23+AO23+AQ23+AS23+AG37+AI37+AJ37+AN37+G23+AH51)</f>
        <v>145418.2929971774</v>
      </c>
      <c r="AF81" s="32">
        <f>(AF66+AG9)</f>
        <v>39030</v>
      </c>
      <c r="AG81" s="32">
        <f t="shared" ca="1" si="126"/>
        <v>106388.2929971774</v>
      </c>
      <c r="AH81" s="32">
        <f t="shared" ca="1" si="122"/>
        <v>-807.48714384857647</v>
      </c>
      <c r="AI81" s="32">
        <f t="shared" ca="1" si="127"/>
        <v>145418.2929971774</v>
      </c>
      <c r="AJ81" s="32">
        <f>(AK9+AI51)</f>
        <v>6000</v>
      </c>
      <c r="AK81" s="32">
        <f ca="1">IF(AI81-AJ81&gt;=AE66*7.5,AE66*7.5,AI81-AJ81)</f>
        <v>139418.2929971774</v>
      </c>
      <c r="AL81" s="32">
        <f t="shared" ca="1" si="128"/>
        <v>-19518.561019604836</v>
      </c>
      <c r="AM81" s="32">
        <f t="shared" ca="1" si="129"/>
        <v>-1394.182929971774</v>
      </c>
      <c r="AN81" s="32">
        <f t="shared" ca="1" si="123"/>
        <v>124505.54904760078</v>
      </c>
      <c r="AO81" s="32">
        <f>(AP9+AI51+AM51+AR37)</f>
        <v>6000</v>
      </c>
      <c r="AP81" s="32">
        <f t="shared" ca="1" si="130"/>
        <v>118505.54904760078</v>
      </c>
      <c r="AQ81" s="32">
        <f ca="1">SUM($AP$73:AP81)</f>
        <v>657641.47065319913</v>
      </c>
      <c r="AR81" s="55">
        <f ca="1">IF(AQ81&lt;=$AQ$58,$AO$58,
IF(AQ81&gt;$AQ$60,
IF(AQ81&gt;$AQ$61,$AO$62,$AO$61),
IF(AQ81&lt;$AQ$59,$AO$59,$AO$60)))</f>
        <v>0.27</v>
      </c>
      <c r="AS81" s="44">
        <f t="shared" ca="1" si="131"/>
        <v>0</v>
      </c>
      <c r="AT81" s="57">
        <f ca="1">(IF(AS81=0,AR81,(VLOOKUP($AR81,$AO$58:$AR$62,2,0)-AQ80)/AP81*AR80+(AQ81-VLOOKUP($AR81,$AO$58:$AR$62,2,0))/AP81*AR81))</f>
        <v>0.27</v>
      </c>
      <c r="AU81" s="32">
        <f t="shared" ca="1" si="133"/>
        <v>-31996.5</v>
      </c>
      <c r="AV81" s="32">
        <f ca="1">(AU81+AZ66)</f>
        <v>-26381.4</v>
      </c>
      <c r="AW81" s="57">
        <f t="shared" ca="1" si="124"/>
        <v>0.72241</v>
      </c>
      <c r="AX81" s="57">
        <f t="shared" si="132"/>
        <v>0.84240999999999999</v>
      </c>
      <c r="AY81" s="57">
        <f t="shared" ca="1" si="125"/>
        <v>0.61290999999999995</v>
      </c>
      <c r="BD81" s="31">
        <v>79</v>
      </c>
      <c r="BE81" s="35">
        <v>39.5</v>
      </c>
      <c r="BF81" s="54" t="s">
        <v>0</v>
      </c>
    </row>
    <row r="82" spans="31:58" ht="39.950000000000003" hidden="1" customHeight="1" x14ac:dyDescent="0.25">
      <c r="AE82" s="32">
        <f ca="1">(AJ24+AM24+AO24+AQ24+AS24+AG38+AI38+AJ38+AN38+G24+AH52)</f>
        <v>82418.292997177399</v>
      </c>
      <c r="AF82" s="32">
        <f>(AF67+AG10)</f>
        <v>39030</v>
      </c>
      <c r="AG82" s="32">
        <f t="shared" ca="1" si="126"/>
        <v>43388.292997177399</v>
      </c>
      <c r="AH82" s="32">
        <f t="shared" ca="1" si="122"/>
        <v>-329.31714384857645</v>
      </c>
      <c r="AI82" s="32">
        <f t="shared" ca="1" si="127"/>
        <v>82418.292997177399</v>
      </c>
      <c r="AJ82" s="32">
        <f>(AK10+AI52)</f>
        <v>6000</v>
      </c>
      <c r="AK82" s="32">
        <f ca="1">IF(AI82-AJ82&gt;=AE67*7.5,AE67*7.5,AI82-AJ82)</f>
        <v>76418.292997177399</v>
      </c>
      <c r="AL82" s="32">
        <f t="shared" ca="1" si="128"/>
        <v>-10698.561019604836</v>
      </c>
      <c r="AM82" s="32">
        <f t="shared" ca="1" si="129"/>
        <v>-764.182929971774</v>
      </c>
      <c r="AN82" s="32">
        <f t="shared" ca="1" si="123"/>
        <v>70955.549047600784</v>
      </c>
      <c r="AO82" s="32">
        <f>(AP10+AI52+AM52+AR38)</f>
        <v>6000</v>
      </c>
      <c r="AP82" s="32">
        <f t="shared" ca="1" si="130"/>
        <v>64955.549047600784</v>
      </c>
      <c r="AQ82" s="32">
        <f ca="1">SUM($AP$73:AP82)</f>
        <v>722597.01970079995</v>
      </c>
      <c r="AR82" s="55">
        <f ca="1">IF(AQ82&lt;=$AQ$58,$AO$58,
IF(AQ82&gt;$AQ$60,
IF(AQ82&gt;$AQ$61,$AO$62,$AO$61),
IF(AQ82&lt;$AQ$59,$AO$59,$AO$60)))</f>
        <v>0.27</v>
      </c>
      <c r="AS82" s="44">
        <f t="shared" ca="1" si="131"/>
        <v>0</v>
      </c>
      <c r="AT82" s="57">
        <f ca="1">(IF(AS82=0,AR82,(VLOOKUP($AR82,$AO$58:$AR$62,2,0)-AQ81)/AP82*AR81+(AQ82-VLOOKUP($AR82,$AO$58:$AR$62,2,0))/AP82*AR82))</f>
        <v>0.27</v>
      </c>
      <c r="AU82" s="32">
        <f t="shared" ca="1" si="133"/>
        <v>-17538</v>
      </c>
      <c r="AV82" s="32">
        <f ca="1">(AU82+AZ67)</f>
        <v>-11922.9</v>
      </c>
      <c r="AW82" s="57">
        <f t="shared" ca="1" si="124"/>
        <v>0.72241</v>
      </c>
      <c r="AX82" s="57">
        <f t="shared" si="132"/>
        <v>0.84240999999999999</v>
      </c>
      <c r="AY82" s="57">
        <f t="shared" ca="1" si="125"/>
        <v>0.61290999999999995</v>
      </c>
      <c r="BD82" s="31">
        <v>80</v>
      </c>
      <c r="BE82" s="35">
        <v>40</v>
      </c>
      <c r="BF82" s="54" t="s">
        <v>0</v>
      </c>
    </row>
    <row r="83" spans="31:58" ht="39.950000000000003" hidden="1" customHeight="1" x14ac:dyDescent="0.25">
      <c r="AE83" s="32">
        <f ca="1">(AJ25+AM25+AO25+AQ25+AS25+AG39+AI39+AJ39+AN39+G25+AH53)</f>
        <v>82418.292997177399</v>
      </c>
      <c r="AF83" s="32">
        <f>(AF68+AG11)</f>
        <v>39030</v>
      </c>
      <c r="AG83" s="32">
        <f t="shared" ca="1" si="126"/>
        <v>43388.292997177399</v>
      </c>
      <c r="AH83" s="32">
        <f t="shared" ca="1" si="122"/>
        <v>-329.31714384857645</v>
      </c>
      <c r="AI83" s="32">
        <f t="shared" ca="1" si="127"/>
        <v>82418.292997177399</v>
      </c>
      <c r="AJ83" s="32">
        <f>(AK11+AI53)</f>
        <v>6000</v>
      </c>
      <c r="AK83" s="32">
        <f ca="1">IF(AI83-AJ83&gt;=AE68*7.5,AE68*7.5,AI83-AJ83)</f>
        <v>76418.292997177399</v>
      </c>
      <c r="AL83" s="32">
        <f t="shared" ca="1" si="128"/>
        <v>-10698.561019604836</v>
      </c>
      <c r="AM83" s="32">
        <f t="shared" ca="1" si="129"/>
        <v>-764.182929971774</v>
      </c>
      <c r="AN83" s="32">
        <f t="shared" ca="1" si="123"/>
        <v>70955.549047600784</v>
      </c>
      <c r="AO83" s="32">
        <f>(AP11+AI53+AM53+AR39)</f>
        <v>6000</v>
      </c>
      <c r="AP83" s="32">
        <f t="shared" ca="1" si="130"/>
        <v>64955.549047600784</v>
      </c>
      <c r="AQ83" s="32">
        <f ca="1">SUM($AP$73:AP83)</f>
        <v>787552.56874840078</v>
      </c>
      <c r="AR83" s="55">
        <f ca="1">IF(AQ83&lt;=$AQ$58,$AO$58,
IF(AQ83&gt;$AQ$60,
IF(AQ83&gt;$AQ$61,$AO$62,$AO$61),
IF(AQ83&lt;$AQ$59,$AO$59,$AO$60)))</f>
        <v>0.27</v>
      </c>
      <c r="AS83" s="44">
        <f t="shared" ca="1" si="131"/>
        <v>0</v>
      </c>
      <c r="AT83" s="57">
        <f ca="1">(IF(AS83=0,AR83,(VLOOKUP($AR83,$AO$58:$AR$62,2,0)-AQ82)/AP83*AR82+(AQ83-VLOOKUP($AR83,$AO$58:$AR$62,2,0))/AP83*AR83))</f>
        <v>0.27</v>
      </c>
      <c r="AU83" s="32">
        <f t="shared" ca="1" si="133"/>
        <v>-17538</v>
      </c>
      <c r="AV83" s="32">
        <f ca="1">(AU83+AZ68)</f>
        <v>-11922.9</v>
      </c>
      <c r="AW83" s="57">
        <f t="shared" ca="1" si="124"/>
        <v>0.72241</v>
      </c>
      <c r="AX83" s="57">
        <f t="shared" si="132"/>
        <v>0.84240999999999999</v>
      </c>
      <c r="AY83" s="57">
        <f t="shared" ca="1" si="125"/>
        <v>0.61290999999999995</v>
      </c>
      <c r="BD83" s="31">
        <v>81</v>
      </c>
      <c r="BE83" s="35">
        <v>40.5</v>
      </c>
      <c r="BF83" s="54" t="s">
        <v>0</v>
      </c>
    </row>
    <row r="84" spans="31:58" ht="39.950000000000003" hidden="1" customHeight="1" x14ac:dyDescent="0.25">
      <c r="AE84" s="32">
        <f ca="1">(AJ26+AM26+AO26+AQ26+AS26+AG40+AI40+AJ40+AN40+G26+AH54)</f>
        <v>145418.2929971774</v>
      </c>
      <c r="AF84" s="32">
        <f>(AF69+AG12)</f>
        <v>39030</v>
      </c>
      <c r="AG84" s="32">
        <f t="shared" ca="1" si="126"/>
        <v>106388.2929971774</v>
      </c>
      <c r="AH84" s="32">
        <f t="shared" ca="1" si="122"/>
        <v>-807.48714384857647</v>
      </c>
      <c r="AI84" s="32">
        <f t="shared" ca="1" si="127"/>
        <v>145418.2929971774</v>
      </c>
      <c r="AJ84" s="32">
        <f>(AK12+AI54)</f>
        <v>6000</v>
      </c>
      <c r="AK84" s="32">
        <f ca="1">IF(AI84-AJ84&gt;=AE69*7.5,AE69*7.5,AI84-AJ84)</f>
        <v>139418.2929971774</v>
      </c>
      <c r="AL84" s="32">
        <f t="shared" ca="1" si="128"/>
        <v>-19518.561019604836</v>
      </c>
      <c r="AM84" s="32">
        <f t="shared" ca="1" si="129"/>
        <v>-1394.182929971774</v>
      </c>
      <c r="AN84" s="32">
        <f t="shared" ca="1" si="123"/>
        <v>124505.54904760078</v>
      </c>
      <c r="AO84" s="32">
        <f>(AP12+AI54+AM54+AR40)</f>
        <v>6000</v>
      </c>
      <c r="AP84" s="32">
        <f t="shared" ca="1" si="130"/>
        <v>118505.54904760078</v>
      </c>
      <c r="AQ84" s="32">
        <f ca="1">SUM($AP$73:AP84)</f>
        <v>906058.11779600161</v>
      </c>
      <c r="AR84" s="55">
        <f ca="1">IF(AQ84&lt;=$AQ$58,$AO$58,
IF(AQ84&gt;$AQ$60,
IF(AQ84&gt;$AQ$61,$AO$62,$AO$61),
IF(AQ84&lt;$AQ$59,$AO$59,$AO$60)))</f>
        <v>0.27</v>
      </c>
      <c r="AS84" s="44">
        <f t="shared" ca="1" si="131"/>
        <v>0</v>
      </c>
      <c r="AT84" s="57">
        <f ca="1">(IF(AS84=0,AR84,(VLOOKUP($AR84,$AO$58:$AR$62,2,0)-AQ83)/AP84*AR83+(AQ84-VLOOKUP($AR84,$AO$58:$AR$62,2,0))/AP84*AR84))</f>
        <v>0.27</v>
      </c>
      <c r="AU84" s="32">
        <f t="shared" ca="1" si="133"/>
        <v>-31996.5</v>
      </c>
      <c r="AV84" s="32">
        <f ca="1">(AU84+AZ69)</f>
        <v>-26381.4</v>
      </c>
      <c r="AW84" s="57">
        <f t="shared" ca="1" si="124"/>
        <v>0.72241</v>
      </c>
      <c r="AX84" s="57">
        <f t="shared" si="132"/>
        <v>0.84240999999999999</v>
      </c>
      <c r="AY84" s="57">
        <f t="shared" ca="1" si="125"/>
        <v>0.61290999999999995</v>
      </c>
      <c r="BD84" s="31">
        <v>82</v>
      </c>
      <c r="BE84" s="35">
        <v>41</v>
      </c>
      <c r="BF84" s="54" t="s">
        <v>0</v>
      </c>
    </row>
    <row r="85" spans="31:58" ht="39.950000000000003" hidden="1" customHeight="1" x14ac:dyDescent="0.25">
      <c r="AE85" s="32">
        <f t="shared" ref="AE85:AF85" ca="1" si="134">(AE73+AE74+AE75+AE76+AE77+AE78+AE79+AE80+AE81+AE82+AE83+AE84)</f>
        <v>1137950.7268188256</v>
      </c>
      <c r="AF85" s="32">
        <f t="shared" si="134"/>
        <v>468360</v>
      </c>
      <c r="AG85" s="32">
        <f t="shared" ref="AG85" ca="1" si="135">(AG73+AG74+AG75+AG76+AG77+AG78+AG79+AG80+AG81+AG82+AG83+AG84)</f>
        <v>669590.72681882535</v>
      </c>
      <c r="AH85" s="32">
        <f t="shared" ref="AH85" ca="1" si="136">(AH73+AH74+AH75+AH76+AH77+AH78+AH79+AH80+AH81+AH82+AH83+AH84)</f>
        <v>-5082.1936165548832</v>
      </c>
      <c r="AI85" s="32">
        <f t="shared" ref="AI85" ca="1" si="137">(AI73+AI74+AI75+AI76+AI77+AI78+AI79+AI80+AI81+AI82+AI83+AI84)</f>
        <v>1137950.7268188256</v>
      </c>
      <c r="AJ85" s="32">
        <f t="shared" ref="AJ85" si="138">(AJ73+AJ74+AJ75+AJ76+AJ77+AJ78+AJ79+AJ80+AJ81+AJ82+AJ83+AJ84)</f>
        <v>72000</v>
      </c>
      <c r="AK85" s="32">
        <f t="shared" ref="AK85" ca="1" si="139">(AK73+AK74+AK75+AK76+AK77+AK78+AK79+AK80+AK81+AK82+AK83+AK84)</f>
        <v>1065950.7268188256</v>
      </c>
      <c r="AL85" s="32">
        <f t="shared" ref="AL85" ca="1" si="140">(AL73+AL74+AL75+AL76+AL77+AL78+AL79+AL80+AL81+AL82+AL83+AL84)</f>
        <v>-149233.10175463551</v>
      </c>
      <c r="AM85" s="32">
        <f t="shared" ref="AM85" ca="1" si="141">(AM73+AM74+AM75+AM76+AM77+AM78+AM79+AM80+AM81+AM82+AM83+AM84)</f>
        <v>-10659.507268188252</v>
      </c>
      <c r="AN85" s="32">
        <f t="shared" ref="AN85:AP85" ca="1" si="142">(AN73+AN74+AN75+AN76+AN77+AN78+AN79+AN80+AN81+AN82+AN83+AN84)</f>
        <v>978058.11779600161</v>
      </c>
      <c r="AO85" s="32">
        <f t="shared" ref="AO85" si="143">(AO73+AO74+AO75+AO76+AO77+AO78+AO79+AO80+AO81+AO82+AO83+AO84)</f>
        <v>72000</v>
      </c>
      <c r="AP85" s="32">
        <f t="shared" ca="1" si="142"/>
        <v>906058.11779600161</v>
      </c>
      <c r="AQ85" s="37" t="s">
        <v>0</v>
      </c>
      <c r="AR85" s="31" t="s">
        <v>0</v>
      </c>
      <c r="AS85" s="31" t="s">
        <v>0</v>
      </c>
      <c r="AT85" s="34">
        <f t="shared" ref="AT85:AU85" ca="1" si="144">(AT73+AT74+AT75+AT76+AT77+AT78+AT79+AT80+AT81+AT82+AT83+AT84)</f>
        <v>2.6838593177791217</v>
      </c>
      <c r="AU85" s="32">
        <f t="shared" ca="1" si="144"/>
        <v>-207135.7</v>
      </c>
      <c r="AV85" s="32">
        <f t="shared" ref="AV85" ca="1" si="145">(AV73+AV74+AV75+AV76+AV77+AV78+AV79+AV80+AV81+AV82+AV83+AV84)</f>
        <v>-149254.46999999997</v>
      </c>
      <c r="AW85" s="31" t="s">
        <v>0</v>
      </c>
      <c r="AX85" s="31" t="s">
        <v>0</v>
      </c>
      <c r="AY85" s="31" t="s">
        <v>0</v>
      </c>
      <c r="BD85" s="31">
        <v>83</v>
      </c>
      <c r="BE85" s="35">
        <v>41.5</v>
      </c>
      <c r="BF85" s="54" t="s">
        <v>0</v>
      </c>
    </row>
    <row r="86" spans="31:58" ht="39.950000000000003" hidden="1" customHeight="1" x14ac:dyDescent="0.25">
      <c r="AE86" s="32">
        <f t="shared" ref="AE86:AF86" ca="1" si="146">(AE85/12)</f>
        <v>94829.227234902137</v>
      </c>
      <c r="AF86" s="32">
        <f t="shared" si="146"/>
        <v>39030</v>
      </c>
      <c r="AG86" s="32">
        <f t="shared" ref="AG86" ca="1" si="147">(AG85/12)</f>
        <v>55799.227234902115</v>
      </c>
      <c r="AH86" s="32">
        <f t="shared" ref="AH86" ca="1" si="148">(AH85/12)</f>
        <v>-423.51613471290693</v>
      </c>
      <c r="AI86" s="32">
        <f t="shared" ref="AI86" ca="1" si="149">(AI85/12)</f>
        <v>94829.227234902137</v>
      </c>
      <c r="AJ86" s="32">
        <f t="shared" ref="AJ86" si="150">(AJ85/12)</f>
        <v>6000</v>
      </c>
      <c r="AK86" s="32">
        <f t="shared" ref="AK86" ca="1" si="151">(AK85/12)</f>
        <v>88829.227234902137</v>
      </c>
      <c r="AL86" s="32">
        <f t="shared" ref="AL86" ca="1" si="152">(AL85/12)</f>
        <v>-12436.091812886292</v>
      </c>
      <c r="AM86" s="32">
        <f t="shared" ref="AM86" ca="1" si="153">(AM85/12)</f>
        <v>-888.292272349021</v>
      </c>
      <c r="AN86" s="32">
        <f t="shared" ref="AN86:AP86" ca="1" si="154">(AN85/12)</f>
        <v>81504.843149666805</v>
      </c>
      <c r="AO86" s="32">
        <f t="shared" ref="AO86" si="155">(AO85/12)</f>
        <v>6000</v>
      </c>
      <c r="AP86" s="32">
        <f t="shared" ca="1" si="154"/>
        <v>75504.843149666805</v>
      </c>
      <c r="AQ86" s="37" t="s">
        <v>0</v>
      </c>
      <c r="AR86" s="37" t="s">
        <v>0</v>
      </c>
      <c r="AS86" s="37" t="s">
        <v>0</v>
      </c>
      <c r="AT86" s="34">
        <f t="shared" ref="AT86:AU86" ca="1" si="156">(AT85/12)</f>
        <v>0.22365494314826015</v>
      </c>
      <c r="AU86" s="32">
        <f t="shared" ca="1" si="156"/>
        <v>-17261.308333333334</v>
      </c>
      <c r="AV86" s="32">
        <f t="shared" ref="AV86" ca="1" si="157">(AV85/12)</f>
        <v>-12437.872499999998</v>
      </c>
      <c r="AW86" s="37" t="s">
        <v>0</v>
      </c>
      <c r="AX86" s="37" t="s">
        <v>0</v>
      </c>
      <c r="AY86" s="37" t="s">
        <v>0</v>
      </c>
      <c r="BD86" s="31">
        <v>84</v>
      </c>
      <c r="BE86" s="35">
        <v>42</v>
      </c>
      <c r="BF86" s="54" t="s">
        <v>0</v>
      </c>
    </row>
    <row r="87" spans="31:58" ht="39.950000000000003" hidden="1" customHeight="1" x14ac:dyDescent="0.25">
      <c r="BD87" s="31">
        <v>85</v>
      </c>
      <c r="BE87" s="35">
        <v>42.5</v>
      </c>
      <c r="BF87" s="54" t="s">
        <v>0</v>
      </c>
    </row>
    <row r="88" spans="31:58" ht="39.950000000000003" hidden="1" customHeight="1" x14ac:dyDescent="0.25">
      <c r="BD88" s="31">
        <v>86</v>
      </c>
      <c r="BE88" s="35">
        <v>43</v>
      </c>
      <c r="BF88" s="54" t="s">
        <v>0</v>
      </c>
    </row>
    <row r="89" spans="31:58" ht="39.950000000000003" hidden="1" customHeight="1" x14ac:dyDescent="0.25">
      <c r="BD89" s="31">
        <v>87</v>
      </c>
      <c r="BE89" s="35">
        <v>43.5</v>
      </c>
      <c r="BF89" s="54" t="s">
        <v>0</v>
      </c>
    </row>
    <row r="90" spans="31:58" ht="39.950000000000003" hidden="1" customHeight="1" x14ac:dyDescent="0.25">
      <c r="BD90" s="31">
        <v>88</v>
      </c>
      <c r="BE90" s="35">
        <v>44</v>
      </c>
      <c r="BF90" s="54" t="s">
        <v>0</v>
      </c>
    </row>
    <row r="91" spans="31:58" ht="39.950000000000003" hidden="1" customHeight="1" x14ac:dyDescent="0.25">
      <c r="BD91" s="31">
        <v>89</v>
      </c>
      <c r="BE91" s="35">
        <v>44.5</v>
      </c>
      <c r="BF91" s="54" t="s">
        <v>0</v>
      </c>
    </row>
    <row r="92" spans="31:58" ht="39.950000000000003" hidden="1" customHeight="1" x14ac:dyDescent="0.25">
      <c r="BD92" s="31">
        <v>90</v>
      </c>
      <c r="BE92" s="35">
        <v>45</v>
      </c>
      <c r="BF92" s="54" t="s">
        <v>0</v>
      </c>
    </row>
    <row r="93" spans="31:58" ht="39.950000000000003" hidden="1" customHeight="1" x14ac:dyDescent="0.25">
      <c r="BD93" s="31">
        <v>91</v>
      </c>
      <c r="BE93" s="35">
        <v>45.5</v>
      </c>
      <c r="BF93" s="54" t="s">
        <v>0</v>
      </c>
    </row>
    <row r="94" spans="31:58" ht="39.950000000000003" hidden="1" customHeight="1" x14ac:dyDescent="0.25">
      <c r="BD94" s="31">
        <v>92</v>
      </c>
      <c r="BE94" s="35">
        <v>46</v>
      </c>
      <c r="BF94" s="54" t="s">
        <v>0</v>
      </c>
    </row>
    <row r="95" spans="31:58" ht="39.950000000000003" hidden="1" customHeight="1" x14ac:dyDescent="0.25">
      <c r="BD95" s="31">
        <v>93</v>
      </c>
      <c r="BE95" s="35">
        <v>46.5</v>
      </c>
      <c r="BF95" s="54" t="s">
        <v>0</v>
      </c>
    </row>
    <row r="96" spans="31:58" ht="39.950000000000003" hidden="1" customHeight="1" x14ac:dyDescent="0.25">
      <c r="BD96" s="31">
        <v>94</v>
      </c>
      <c r="BE96" s="35">
        <v>47</v>
      </c>
      <c r="BF96" s="54" t="s">
        <v>0</v>
      </c>
    </row>
    <row r="97" spans="56:58" ht="39.950000000000003" hidden="1" customHeight="1" x14ac:dyDescent="0.25">
      <c r="BD97" s="31">
        <v>95</v>
      </c>
      <c r="BE97" s="35">
        <v>47.5</v>
      </c>
      <c r="BF97" s="54" t="s">
        <v>0</v>
      </c>
    </row>
    <row r="98" spans="56:58" ht="39.950000000000003" hidden="1" customHeight="1" x14ac:dyDescent="0.25">
      <c r="BD98" s="31">
        <v>96</v>
      </c>
      <c r="BE98" s="35">
        <v>48</v>
      </c>
      <c r="BF98" s="54" t="s">
        <v>0</v>
      </c>
    </row>
    <row r="99" spans="56:58" ht="39.950000000000003" hidden="1" customHeight="1" x14ac:dyDescent="0.25">
      <c r="BD99" s="31">
        <v>97</v>
      </c>
      <c r="BE99" s="35">
        <v>48.5</v>
      </c>
      <c r="BF99" s="54" t="s">
        <v>0</v>
      </c>
    </row>
    <row r="100" spans="56:58" ht="39.950000000000003" hidden="1" customHeight="1" x14ac:dyDescent="0.25">
      <c r="BD100" s="31">
        <v>98</v>
      </c>
      <c r="BE100" s="35">
        <v>49</v>
      </c>
      <c r="BF100" s="54" t="s">
        <v>0</v>
      </c>
    </row>
    <row r="101" spans="56:58" ht="39.950000000000003" hidden="1" customHeight="1" x14ac:dyDescent="0.25">
      <c r="BD101" s="31">
        <v>99</v>
      </c>
      <c r="BE101" s="35">
        <v>49.5</v>
      </c>
      <c r="BF101" s="54" t="s">
        <v>0</v>
      </c>
    </row>
    <row r="102" spans="56:58" ht="39.950000000000003" hidden="1" customHeight="1" x14ac:dyDescent="0.25">
      <c r="BD102" s="31">
        <v>100</v>
      </c>
      <c r="BE102" s="35">
        <v>50</v>
      </c>
      <c r="BF102" s="54" t="s">
        <v>0</v>
      </c>
    </row>
    <row r="103" spans="56:58" ht="39.950000000000003" hidden="1" customHeight="1" x14ac:dyDescent="0.25">
      <c r="BD103" s="31">
        <v>101</v>
      </c>
      <c r="BE103" s="35">
        <v>50.5</v>
      </c>
      <c r="BF103" s="54" t="s">
        <v>0</v>
      </c>
    </row>
    <row r="104" spans="56:58" ht="39.950000000000003" hidden="1" customHeight="1" x14ac:dyDescent="0.25">
      <c r="BD104" s="31">
        <v>102</v>
      </c>
      <c r="BE104" s="35">
        <v>51</v>
      </c>
      <c r="BF104" s="54" t="s">
        <v>0</v>
      </c>
    </row>
    <row r="105" spans="56:58" ht="39.950000000000003" hidden="1" customHeight="1" x14ac:dyDescent="0.25">
      <c r="BD105" s="31">
        <v>103</v>
      </c>
      <c r="BE105" s="35">
        <v>51.5</v>
      </c>
      <c r="BF105" s="54" t="s">
        <v>0</v>
      </c>
    </row>
    <row r="106" spans="56:58" ht="39.950000000000003" hidden="1" customHeight="1" x14ac:dyDescent="0.25">
      <c r="BD106" s="31">
        <v>104</v>
      </c>
      <c r="BE106" s="35">
        <v>52</v>
      </c>
      <c r="BF106" s="54" t="s">
        <v>0</v>
      </c>
    </row>
    <row r="107" spans="56:58" ht="39.950000000000003" hidden="1" customHeight="1" x14ac:dyDescent="0.25">
      <c r="BD107" s="31">
        <v>105</v>
      </c>
      <c r="BE107" s="35">
        <v>52.5</v>
      </c>
      <c r="BF107" s="54" t="s">
        <v>0</v>
      </c>
    </row>
    <row r="108" spans="56:58" ht="39.950000000000003" hidden="1" customHeight="1" x14ac:dyDescent="0.25">
      <c r="BD108" s="31">
        <v>106</v>
      </c>
      <c r="BE108" s="35">
        <v>53</v>
      </c>
      <c r="BF108" s="54" t="s">
        <v>0</v>
      </c>
    </row>
    <row r="109" spans="56:58" ht="39.950000000000003" hidden="1" customHeight="1" x14ac:dyDescent="0.25">
      <c r="BD109" s="31">
        <v>107</v>
      </c>
      <c r="BE109" s="35">
        <v>53.5</v>
      </c>
      <c r="BF109" s="54" t="s">
        <v>0</v>
      </c>
    </row>
    <row r="110" spans="56:58" ht="39.950000000000003" hidden="1" customHeight="1" x14ac:dyDescent="0.25">
      <c r="BD110" s="31">
        <v>108</v>
      </c>
      <c r="BE110" s="35">
        <v>54</v>
      </c>
      <c r="BF110" s="54" t="s">
        <v>0</v>
      </c>
    </row>
    <row r="111" spans="56:58" ht="39.950000000000003" hidden="1" customHeight="1" x14ac:dyDescent="0.25">
      <c r="BD111" s="31">
        <v>109</v>
      </c>
      <c r="BE111" s="35">
        <v>54.5</v>
      </c>
      <c r="BF111" s="54" t="s">
        <v>0</v>
      </c>
    </row>
    <row r="112" spans="56:58" ht="39.950000000000003" hidden="1" customHeight="1" x14ac:dyDescent="0.25">
      <c r="BD112" s="31">
        <v>110</v>
      </c>
      <c r="BE112" s="35">
        <v>55</v>
      </c>
      <c r="BF112" s="54" t="s">
        <v>0</v>
      </c>
    </row>
    <row r="113" spans="56:58" ht="39.950000000000003" hidden="1" customHeight="1" x14ac:dyDescent="0.25">
      <c r="BD113" s="31">
        <v>111</v>
      </c>
      <c r="BE113" s="35">
        <v>55.5</v>
      </c>
      <c r="BF113" s="54" t="s">
        <v>0</v>
      </c>
    </row>
    <row r="114" spans="56:58" ht="39.950000000000003" hidden="1" customHeight="1" x14ac:dyDescent="0.25">
      <c r="BD114" s="31">
        <v>112</v>
      </c>
      <c r="BE114" s="35">
        <v>56</v>
      </c>
      <c r="BF114" s="54" t="s">
        <v>0</v>
      </c>
    </row>
    <row r="115" spans="56:58" ht="39.950000000000003" hidden="1" customHeight="1" x14ac:dyDescent="0.25">
      <c r="BD115" s="31">
        <v>113</v>
      </c>
      <c r="BE115" s="35">
        <v>56.5</v>
      </c>
      <c r="BF115" s="54" t="s">
        <v>0</v>
      </c>
    </row>
    <row r="116" spans="56:58" ht="39.950000000000003" hidden="1" customHeight="1" x14ac:dyDescent="0.25">
      <c r="BD116" s="31">
        <v>114</v>
      </c>
      <c r="BE116" s="35">
        <v>57</v>
      </c>
      <c r="BF116" s="54" t="s">
        <v>0</v>
      </c>
    </row>
    <row r="117" spans="56:58" ht="39.950000000000003" hidden="1" customHeight="1" x14ac:dyDescent="0.25">
      <c r="BD117" s="31">
        <v>115</v>
      </c>
      <c r="BE117" s="35">
        <v>57.5</v>
      </c>
      <c r="BF117" s="54" t="s">
        <v>0</v>
      </c>
    </row>
    <row r="118" spans="56:58" ht="39.950000000000003" hidden="1" customHeight="1" x14ac:dyDescent="0.25">
      <c r="BD118" s="31">
        <v>116</v>
      </c>
      <c r="BE118" s="35">
        <v>58</v>
      </c>
      <c r="BF118" s="54" t="s">
        <v>0</v>
      </c>
    </row>
    <row r="119" spans="56:58" ht="39.950000000000003" hidden="1" customHeight="1" x14ac:dyDescent="0.25">
      <c r="BD119" s="31">
        <v>117</v>
      </c>
      <c r="BE119" s="35">
        <v>58.5</v>
      </c>
      <c r="BF119" s="54" t="s">
        <v>0</v>
      </c>
    </row>
    <row r="120" spans="56:58" ht="39.950000000000003" hidden="1" customHeight="1" x14ac:dyDescent="0.25">
      <c r="BD120" s="31">
        <v>118</v>
      </c>
      <c r="BE120" s="35">
        <v>59</v>
      </c>
      <c r="BF120" s="54" t="s">
        <v>0</v>
      </c>
    </row>
    <row r="121" spans="56:58" ht="39.950000000000003" hidden="1" customHeight="1" x14ac:dyDescent="0.25">
      <c r="BD121" s="31">
        <v>119</v>
      </c>
      <c r="BE121" s="35">
        <v>59.5</v>
      </c>
      <c r="BF121" s="54" t="s">
        <v>0</v>
      </c>
    </row>
    <row r="122" spans="56:58" ht="39.950000000000003" hidden="1" customHeight="1" x14ac:dyDescent="0.25">
      <c r="BD122" s="31">
        <v>120</v>
      </c>
      <c r="BE122" s="35">
        <v>60</v>
      </c>
      <c r="BF122" s="54" t="s">
        <v>0</v>
      </c>
    </row>
    <row r="123" spans="56:58" ht="39.950000000000003" hidden="1" customHeight="1" x14ac:dyDescent="0.25">
      <c r="BD123" s="31">
        <v>121</v>
      </c>
      <c r="BE123" s="35">
        <v>60.5</v>
      </c>
      <c r="BF123" s="54" t="s">
        <v>0</v>
      </c>
    </row>
    <row r="124" spans="56:58" ht="39.950000000000003" hidden="1" customHeight="1" x14ac:dyDescent="0.25">
      <c r="BD124" s="31">
        <v>122</v>
      </c>
      <c r="BE124" s="35">
        <v>61</v>
      </c>
      <c r="BF124" s="54" t="s">
        <v>0</v>
      </c>
    </row>
    <row r="125" spans="56:58" ht="39.950000000000003" hidden="1" customHeight="1" x14ac:dyDescent="0.25">
      <c r="BD125" s="31">
        <v>123</v>
      </c>
      <c r="BE125" s="35">
        <v>61.5</v>
      </c>
      <c r="BF125" s="54" t="s">
        <v>0</v>
      </c>
    </row>
    <row r="126" spans="56:58" ht="39.950000000000003" hidden="1" customHeight="1" x14ac:dyDescent="0.25">
      <c r="BD126" s="31">
        <v>124</v>
      </c>
      <c r="BE126" s="35">
        <v>62</v>
      </c>
      <c r="BF126" s="54" t="s">
        <v>0</v>
      </c>
    </row>
    <row r="127" spans="56:58" ht="39.950000000000003" hidden="1" customHeight="1" x14ac:dyDescent="0.25">
      <c r="BD127" s="31">
        <v>125</v>
      </c>
      <c r="BE127" s="35">
        <v>62.5</v>
      </c>
      <c r="BF127" s="54" t="s">
        <v>0</v>
      </c>
    </row>
    <row r="128" spans="56:58" ht="39.950000000000003" hidden="1" customHeight="1" x14ac:dyDescent="0.25">
      <c r="BD128" s="31">
        <v>126</v>
      </c>
      <c r="BE128" s="35">
        <v>63</v>
      </c>
      <c r="BF128" s="54" t="s">
        <v>0</v>
      </c>
    </row>
    <row r="129" spans="56:58" ht="39.950000000000003" hidden="1" customHeight="1" x14ac:dyDescent="0.25">
      <c r="BD129" s="31">
        <v>127</v>
      </c>
      <c r="BE129" s="35">
        <v>63.5</v>
      </c>
      <c r="BF129" s="54" t="s">
        <v>0</v>
      </c>
    </row>
    <row r="130" spans="56:58" ht="39.950000000000003" hidden="1" customHeight="1" x14ac:dyDescent="0.25">
      <c r="BD130" s="31">
        <v>128</v>
      </c>
      <c r="BE130" s="35">
        <v>64</v>
      </c>
      <c r="BF130" s="54" t="s">
        <v>0</v>
      </c>
    </row>
    <row r="131" spans="56:58" ht="39.950000000000003" hidden="1" customHeight="1" x14ac:dyDescent="0.25">
      <c r="BD131" s="31">
        <v>129</v>
      </c>
      <c r="BE131" s="35">
        <v>64.5</v>
      </c>
      <c r="BF131" s="54" t="s">
        <v>0</v>
      </c>
    </row>
    <row r="132" spans="56:58" ht="39.950000000000003" hidden="1" customHeight="1" x14ac:dyDescent="0.25">
      <c r="BD132" s="31">
        <v>130</v>
      </c>
      <c r="BE132" s="35">
        <v>65</v>
      </c>
      <c r="BF132" s="54" t="s">
        <v>0</v>
      </c>
    </row>
    <row r="133" spans="56:58" ht="39.950000000000003" hidden="1" customHeight="1" x14ac:dyDescent="0.25">
      <c r="BD133" s="31">
        <v>131</v>
      </c>
      <c r="BE133" s="35">
        <v>65.5</v>
      </c>
      <c r="BF133" s="54" t="s">
        <v>0</v>
      </c>
    </row>
    <row r="134" spans="56:58" ht="39.950000000000003" hidden="1" customHeight="1" x14ac:dyDescent="0.25">
      <c r="BD134" s="31">
        <v>132</v>
      </c>
      <c r="BE134" s="35">
        <v>66</v>
      </c>
      <c r="BF134" s="54" t="s">
        <v>0</v>
      </c>
    </row>
    <row r="135" spans="56:58" ht="39.950000000000003" hidden="1" customHeight="1" x14ac:dyDescent="0.25">
      <c r="BD135" s="31">
        <v>133</v>
      </c>
      <c r="BE135" s="35">
        <v>66.5</v>
      </c>
      <c r="BF135" s="54" t="s">
        <v>0</v>
      </c>
    </row>
    <row r="136" spans="56:58" ht="39.950000000000003" hidden="1" customHeight="1" x14ac:dyDescent="0.25">
      <c r="BD136" s="31">
        <v>134</v>
      </c>
      <c r="BE136" s="35">
        <v>67</v>
      </c>
      <c r="BF136" s="54" t="s">
        <v>0</v>
      </c>
    </row>
    <row r="137" spans="56:58" ht="39.950000000000003" hidden="1" customHeight="1" x14ac:dyDescent="0.25">
      <c r="BD137" s="31">
        <v>135</v>
      </c>
      <c r="BE137" s="35">
        <v>67.5</v>
      </c>
      <c r="BF137" s="54" t="s">
        <v>0</v>
      </c>
    </row>
    <row r="138" spans="56:58" ht="39.950000000000003" hidden="1" customHeight="1" x14ac:dyDescent="0.25">
      <c r="BD138" s="31">
        <v>136</v>
      </c>
      <c r="BE138" s="35">
        <v>68</v>
      </c>
      <c r="BF138" s="54" t="s">
        <v>0</v>
      </c>
    </row>
    <row r="139" spans="56:58" ht="39.950000000000003" hidden="1" customHeight="1" x14ac:dyDescent="0.25">
      <c r="BD139" s="31">
        <v>137</v>
      </c>
      <c r="BE139" s="35">
        <v>68.5</v>
      </c>
      <c r="BF139" s="54" t="s">
        <v>0</v>
      </c>
    </row>
    <row r="140" spans="56:58" ht="39.950000000000003" hidden="1" customHeight="1" x14ac:dyDescent="0.25">
      <c r="BD140" s="31">
        <v>138</v>
      </c>
      <c r="BE140" s="35">
        <v>69</v>
      </c>
      <c r="BF140" s="54" t="s">
        <v>0</v>
      </c>
    </row>
    <row r="141" spans="56:58" ht="39.950000000000003" hidden="1" customHeight="1" x14ac:dyDescent="0.25">
      <c r="BD141" s="31">
        <v>139</v>
      </c>
      <c r="BE141" s="35">
        <v>69.5</v>
      </c>
      <c r="BF141" s="54" t="s">
        <v>0</v>
      </c>
    </row>
    <row r="142" spans="56:58" ht="39.950000000000003" hidden="1" customHeight="1" x14ac:dyDescent="0.25">
      <c r="BD142" s="31">
        <v>140</v>
      </c>
      <c r="BE142" s="35">
        <v>70</v>
      </c>
      <c r="BF142" s="54" t="s">
        <v>0</v>
      </c>
    </row>
    <row r="143" spans="56:58" ht="39.950000000000003" hidden="1" customHeight="1" x14ac:dyDescent="0.25">
      <c r="BD143" s="31">
        <v>141</v>
      </c>
      <c r="BE143" s="35">
        <v>70.5</v>
      </c>
      <c r="BF143" s="54" t="s">
        <v>0</v>
      </c>
    </row>
    <row r="144" spans="56:58" ht="39.950000000000003" hidden="1" customHeight="1" x14ac:dyDescent="0.25">
      <c r="BD144" s="31">
        <v>142</v>
      </c>
      <c r="BE144" s="35">
        <v>71</v>
      </c>
      <c r="BF144" s="54" t="s">
        <v>0</v>
      </c>
    </row>
    <row r="145" spans="56:58" ht="39.950000000000003" hidden="1" customHeight="1" x14ac:dyDescent="0.25">
      <c r="BD145" s="31">
        <v>143</v>
      </c>
      <c r="BE145" s="35">
        <v>71.5</v>
      </c>
      <c r="BF145" s="54" t="s">
        <v>0</v>
      </c>
    </row>
    <row r="146" spans="56:58" ht="39.950000000000003" hidden="1" customHeight="1" x14ac:dyDescent="0.25">
      <c r="BD146" s="31">
        <v>144</v>
      </c>
      <c r="BE146" s="35">
        <v>72</v>
      </c>
      <c r="BF146" s="54" t="s">
        <v>0</v>
      </c>
    </row>
    <row r="147" spans="56:58" ht="39.950000000000003" hidden="1" customHeight="1" x14ac:dyDescent="0.25">
      <c r="BD147" s="31">
        <v>145</v>
      </c>
      <c r="BE147" s="35">
        <v>72.5</v>
      </c>
      <c r="BF147" s="54" t="s">
        <v>0</v>
      </c>
    </row>
    <row r="148" spans="56:58" ht="39.950000000000003" hidden="1" customHeight="1" x14ac:dyDescent="0.25">
      <c r="BD148" s="31">
        <v>146</v>
      </c>
      <c r="BE148" s="35">
        <v>73</v>
      </c>
      <c r="BF148" s="54" t="s">
        <v>0</v>
      </c>
    </row>
    <row r="149" spans="56:58" ht="39.950000000000003" hidden="1" customHeight="1" x14ac:dyDescent="0.25">
      <c r="BD149" s="31">
        <v>147</v>
      </c>
      <c r="BE149" s="35">
        <v>73.5</v>
      </c>
      <c r="BF149" s="54" t="s">
        <v>0</v>
      </c>
    </row>
    <row r="150" spans="56:58" ht="39.950000000000003" hidden="1" customHeight="1" x14ac:dyDescent="0.25">
      <c r="BD150" s="31">
        <v>148</v>
      </c>
      <c r="BE150" s="35">
        <v>74</v>
      </c>
      <c r="BF150" s="54" t="s">
        <v>0</v>
      </c>
    </row>
    <row r="151" spans="56:58" ht="39.950000000000003" hidden="1" customHeight="1" x14ac:dyDescent="0.25">
      <c r="BD151" s="31">
        <v>149</v>
      </c>
      <c r="BE151" s="35">
        <v>74.5</v>
      </c>
      <c r="BF151" s="54" t="s">
        <v>0</v>
      </c>
    </row>
    <row r="152" spans="56:58" ht="39.950000000000003" hidden="1" customHeight="1" x14ac:dyDescent="0.25">
      <c r="BD152" s="31">
        <v>150</v>
      </c>
      <c r="BE152" s="35">
        <v>75</v>
      </c>
      <c r="BF152" s="54" t="s">
        <v>0</v>
      </c>
    </row>
    <row r="153" spans="56:58" ht="39.950000000000003" hidden="1" customHeight="1" x14ac:dyDescent="0.25">
      <c r="BD153" s="31">
        <v>151</v>
      </c>
      <c r="BE153" s="35">
        <v>75.5</v>
      </c>
      <c r="BF153" s="54" t="s">
        <v>0</v>
      </c>
    </row>
    <row r="154" spans="56:58" ht="39.950000000000003" hidden="1" customHeight="1" x14ac:dyDescent="0.25">
      <c r="BD154" s="31">
        <v>152</v>
      </c>
      <c r="BE154" s="35">
        <v>76</v>
      </c>
      <c r="BF154" s="54" t="s">
        <v>0</v>
      </c>
    </row>
    <row r="155" spans="56:58" ht="39.950000000000003" hidden="1" customHeight="1" x14ac:dyDescent="0.25">
      <c r="BD155" s="31">
        <v>153</v>
      </c>
      <c r="BE155" s="35">
        <v>76.5</v>
      </c>
      <c r="BF155" s="54" t="s">
        <v>0</v>
      </c>
    </row>
    <row r="156" spans="56:58" ht="39.950000000000003" hidden="1" customHeight="1" x14ac:dyDescent="0.25">
      <c r="BD156" s="31">
        <v>154</v>
      </c>
      <c r="BE156" s="35">
        <v>77</v>
      </c>
      <c r="BF156" s="54" t="s">
        <v>0</v>
      </c>
    </row>
    <row r="157" spans="56:58" ht="39.950000000000003" hidden="1" customHeight="1" x14ac:dyDescent="0.25">
      <c r="BD157" s="31">
        <v>155</v>
      </c>
      <c r="BE157" s="35">
        <v>77.5</v>
      </c>
      <c r="BF157" s="54" t="s">
        <v>0</v>
      </c>
    </row>
    <row r="158" spans="56:58" ht="39.950000000000003" hidden="1" customHeight="1" x14ac:dyDescent="0.25">
      <c r="BD158" s="31">
        <v>156</v>
      </c>
      <c r="BE158" s="35">
        <v>78</v>
      </c>
      <c r="BF158" s="54" t="s">
        <v>0</v>
      </c>
    </row>
    <row r="159" spans="56:58" ht="39.950000000000003" hidden="1" customHeight="1" x14ac:dyDescent="0.25">
      <c r="BD159" s="31">
        <v>157</v>
      </c>
      <c r="BE159" s="35">
        <v>78.5</v>
      </c>
      <c r="BF159" s="54" t="s">
        <v>0</v>
      </c>
    </row>
    <row r="160" spans="56:58" ht="39.950000000000003" hidden="1" customHeight="1" x14ac:dyDescent="0.25">
      <c r="BD160" s="31">
        <v>158</v>
      </c>
      <c r="BE160" s="35">
        <v>79</v>
      </c>
      <c r="BF160" s="54" t="s">
        <v>0</v>
      </c>
    </row>
    <row r="161" spans="56:58" ht="39.950000000000003" hidden="1" customHeight="1" x14ac:dyDescent="0.25">
      <c r="BD161" s="31">
        <v>159</v>
      </c>
      <c r="BE161" s="35">
        <v>79.5</v>
      </c>
      <c r="BF161" s="54" t="s">
        <v>0</v>
      </c>
    </row>
    <row r="162" spans="56:58" ht="39.950000000000003" hidden="1" customHeight="1" x14ac:dyDescent="0.25">
      <c r="BD162" s="31">
        <v>160</v>
      </c>
      <c r="BE162" s="35">
        <v>80</v>
      </c>
      <c r="BF162" s="54" t="s">
        <v>0</v>
      </c>
    </row>
    <row r="163" spans="56:58" ht="39.950000000000003" hidden="1" customHeight="1" x14ac:dyDescent="0.25">
      <c r="BD163" s="31">
        <v>161</v>
      </c>
      <c r="BE163" s="35">
        <v>80.5</v>
      </c>
      <c r="BF163" s="54" t="s">
        <v>0</v>
      </c>
    </row>
    <row r="164" spans="56:58" ht="39.950000000000003" hidden="1" customHeight="1" x14ac:dyDescent="0.25">
      <c r="BD164" s="31">
        <v>162</v>
      </c>
      <c r="BE164" s="35">
        <v>81</v>
      </c>
      <c r="BF164" s="54" t="s">
        <v>0</v>
      </c>
    </row>
    <row r="165" spans="56:58" ht="39.950000000000003" hidden="1" customHeight="1" x14ac:dyDescent="0.25">
      <c r="BD165" s="31">
        <v>163</v>
      </c>
      <c r="BE165" s="35">
        <v>81.5</v>
      </c>
      <c r="BF165" s="54" t="s">
        <v>0</v>
      </c>
    </row>
    <row r="166" spans="56:58" ht="39.950000000000003" hidden="1" customHeight="1" x14ac:dyDescent="0.25">
      <c r="BD166" s="31">
        <v>164</v>
      </c>
      <c r="BE166" s="35">
        <v>82</v>
      </c>
      <c r="BF166" s="54" t="s">
        <v>0</v>
      </c>
    </row>
    <row r="167" spans="56:58" ht="39.950000000000003" hidden="1" customHeight="1" x14ac:dyDescent="0.25">
      <c r="BD167" s="31">
        <v>165</v>
      </c>
      <c r="BE167" s="35">
        <v>82.5</v>
      </c>
      <c r="BF167" s="54" t="s">
        <v>0</v>
      </c>
    </row>
    <row r="168" spans="56:58" ht="39.950000000000003" hidden="1" customHeight="1" x14ac:dyDescent="0.25">
      <c r="BD168" s="31">
        <v>166</v>
      </c>
      <c r="BE168" s="35">
        <v>83</v>
      </c>
      <c r="BF168" s="54" t="s">
        <v>0</v>
      </c>
    </row>
    <row r="169" spans="56:58" ht="39.950000000000003" hidden="1" customHeight="1" x14ac:dyDescent="0.25">
      <c r="BD169" s="31">
        <v>167</v>
      </c>
      <c r="BE169" s="35">
        <v>83.5</v>
      </c>
      <c r="BF169" s="54" t="s">
        <v>0</v>
      </c>
    </row>
    <row r="170" spans="56:58" ht="39.950000000000003" hidden="1" customHeight="1" x14ac:dyDescent="0.25">
      <c r="BD170" s="31">
        <v>168</v>
      </c>
      <c r="BE170" s="35">
        <v>84</v>
      </c>
      <c r="BF170" s="54" t="s">
        <v>0</v>
      </c>
    </row>
    <row r="171" spans="56:58" ht="39.950000000000003" hidden="1" customHeight="1" x14ac:dyDescent="0.25">
      <c r="BD171" s="31">
        <v>169</v>
      </c>
      <c r="BE171" s="35">
        <v>84.5</v>
      </c>
      <c r="BF171" s="54" t="s">
        <v>0</v>
      </c>
    </row>
    <row r="172" spans="56:58" ht="39.950000000000003" hidden="1" customHeight="1" x14ac:dyDescent="0.25">
      <c r="BD172" s="31">
        <v>170</v>
      </c>
      <c r="BE172" s="35">
        <v>85</v>
      </c>
      <c r="BF172" s="54" t="s">
        <v>0</v>
      </c>
    </row>
    <row r="173" spans="56:58" ht="39.950000000000003" hidden="1" customHeight="1" x14ac:dyDescent="0.25">
      <c r="BD173" s="31">
        <v>171</v>
      </c>
      <c r="BE173" s="35">
        <v>85.5</v>
      </c>
      <c r="BF173" s="54" t="s">
        <v>0</v>
      </c>
    </row>
    <row r="174" spans="56:58" ht="39.950000000000003" hidden="1" customHeight="1" x14ac:dyDescent="0.25">
      <c r="BD174" s="31">
        <v>172</v>
      </c>
      <c r="BE174" s="35">
        <v>86</v>
      </c>
      <c r="BF174" s="54" t="s">
        <v>0</v>
      </c>
    </row>
    <row r="175" spans="56:58" ht="39.950000000000003" hidden="1" customHeight="1" x14ac:dyDescent="0.25">
      <c r="BD175" s="31">
        <v>173</v>
      </c>
      <c r="BE175" s="35">
        <v>86.5</v>
      </c>
      <c r="BF175" s="54" t="s">
        <v>0</v>
      </c>
    </row>
    <row r="176" spans="56:58" ht="39.950000000000003" hidden="1" customHeight="1" x14ac:dyDescent="0.25">
      <c r="BD176" s="31">
        <v>174</v>
      </c>
      <c r="BE176" s="35">
        <v>87</v>
      </c>
      <c r="BF176" s="54" t="s">
        <v>0</v>
      </c>
    </row>
    <row r="177" spans="56:58" ht="39.950000000000003" hidden="1" customHeight="1" x14ac:dyDescent="0.25">
      <c r="BD177" s="31">
        <v>175</v>
      </c>
      <c r="BE177" s="35">
        <v>87.5</v>
      </c>
      <c r="BF177" s="54" t="s">
        <v>0</v>
      </c>
    </row>
    <row r="178" spans="56:58" ht="39.950000000000003" hidden="1" customHeight="1" x14ac:dyDescent="0.25">
      <c r="BD178" s="31">
        <v>176</v>
      </c>
      <c r="BE178" s="35">
        <v>88</v>
      </c>
      <c r="BF178" s="54" t="s">
        <v>0</v>
      </c>
    </row>
    <row r="179" spans="56:58" ht="39.950000000000003" hidden="1" customHeight="1" x14ac:dyDescent="0.25">
      <c r="BD179" s="31">
        <v>177</v>
      </c>
      <c r="BE179" s="35">
        <v>88.5</v>
      </c>
      <c r="BF179" s="54" t="s">
        <v>0</v>
      </c>
    </row>
    <row r="180" spans="56:58" ht="39.950000000000003" hidden="1" customHeight="1" x14ac:dyDescent="0.25">
      <c r="BD180" s="31">
        <v>178</v>
      </c>
      <c r="BE180" s="35">
        <v>89</v>
      </c>
      <c r="BF180" s="54" t="s">
        <v>0</v>
      </c>
    </row>
    <row r="181" spans="56:58" ht="39.950000000000003" hidden="1" customHeight="1" x14ac:dyDescent="0.25">
      <c r="BD181" s="31">
        <v>179</v>
      </c>
      <c r="BE181" s="35">
        <v>89.5</v>
      </c>
      <c r="BF181" s="54" t="s">
        <v>0</v>
      </c>
    </row>
    <row r="182" spans="56:58" ht="39.950000000000003" hidden="1" customHeight="1" x14ac:dyDescent="0.25">
      <c r="BD182" s="31">
        <v>180</v>
      </c>
      <c r="BE182" s="35">
        <v>90</v>
      </c>
      <c r="BF182" s="54" t="s">
        <v>0</v>
      </c>
    </row>
    <row r="183" spans="56:58" ht="39.950000000000003" hidden="1" customHeight="1" x14ac:dyDescent="0.25">
      <c r="BD183" s="31">
        <v>181</v>
      </c>
      <c r="BE183" s="35">
        <v>90.5</v>
      </c>
      <c r="BF183" s="54" t="s">
        <v>0</v>
      </c>
    </row>
    <row r="184" spans="56:58" ht="39.950000000000003" hidden="1" customHeight="1" x14ac:dyDescent="0.25">
      <c r="BD184" s="31">
        <v>182</v>
      </c>
      <c r="BE184" s="35">
        <v>91</v>
      </c>
      <c r="BF184" s="54" t="s">
        <v>0</v>
      </c>
    </row>
    <row r="185" spans="56:58" ht="39.950000000000003" hidden="1" customHeight="1" x14ac:dyDescent="0.25">
      <c r="BD185" s="31">
        <v>183</v>
      </c>
      <c r="BE185" s="35">
        <v>91.5</v>
      </c>
      <c r="BF185" s="54" t="s">
        <v>0</v>
      </c>
    </row>
    <row r="186" spans="56:58" ht="39.950000000000003" hidden="1" customHeight="1" x14ac:dyDescent="0.25">
      <c r="BD186" s="31">
        <v>184</v>
      </c>
      <c r="BE186" s="35">
        <v>92</v>
      </c>
      <c r="BF186" s="54" t="s">
        <v>0</v>
      </c>
    </row>
    <row r="187" spans="56:58" ht="39.950000000000003" hidden="1" customHeight="1" x14ac:dyDescent="0.25">
      <c r="BD187" s="31">
        <v>185</v>
      </c>
      <c r="BE187" s="35">
        <v>92.5</v>
      </c>
      <c r="BF187" s="54" t="s">
        <v>0</v>
      </c>
    </row>
    <row r="188" spans="56:58" ht="39.950000000000003" hidden="1" customHeight="1" x14ac:dyDescent="0.25">
      <c r="BD188" s="31">
        <v>186</v>
      </c>
      <c r="BE188" s="35">
        <v>93</v>
      </c>
      <c r="BF188" s="54" t="s">
        <v>0</v>
      </c>
    </row>
    <row r="189" spans="56:58" ht="39.950000000000003" hidden="1" customHeight="1" x14ac:dyDescent="0.25">
      <c r="BD189" s="31">
        <v>187</v>
      </c>
      <c r="BE189" s="35">
        <v>93.5</v>
      </c>
      <c r="BF189" s="54" t="s">
        <v>0</v>
      </c>
    </row>
    <row r="190" spans="56:58" ht="39.950000000000003" hidden="1" customHeight="1" x14ac:dyDescent="0.25">
      <c r="BD190" s="31">
        <v>188</v>
      </c>
      <c r="BE190" s="35">
        <v>94</v>
      </c>
      <c r="BF190" s="54" t="s">
        <v>0</v>
      </c>
    </row>
    <row r="191" spans="56:58" ht="39.950000000000003" hidden="1" customHeight="1" x14ac:dyDescent="0.25">
      <c r="BD191" s="31">
        <v>189</v>
      </c>
      <c r="BE191" s="35">
        <v>94.5</v>
      </c>
      <c r="BF191" s="54" t="s">
        <v>0</v>
      </c>
    </row>
    <row r="192" spans="56:58" ht="39.950000000000003" hidden="1" customHeight="1" x14ac:dyDescent="0.25">
      <c r="BD192" s="31">
        <v>190</v>
      </c>
      <c r="BE192" s="35">
        <v>95</v>
      </c>
      <c r="BF192" s="54" t="s">
        <v>0</v>
      </c>
    </row>
    <row r="193" spans="56:58" ht="39.950000000000003" hidden="1" customHeight="1" x14ac:dyDescent="0.25">
      <c r="BD193" s="31">
        <v>191</v>
      </c>
      <c r="BE193" s="35">
        <v>95.5</v>
      </c>
      <c r="BF193" s="54" t="s">
        <v>0</v>
      </c>
    </row>
    <row r="194" spans="56:58" ht="39.950000000000003" hidden="1" customHeight="1" x14ac:dyDescent="0.25">
      <c r="BD194" s="31">
        <v>192</v>
      </c>
      <c r="BE194" s="35">
        <v>96</v>
      </c>
      <c r="BF194" s="54" t="s">
        <v>0</v>
      </c>
    </row>
    <row r="195" spans="56:58" ht="39.950000000000003" hidden="1" customHeight="1" x14ac:dyDescent="0.25">
      <c r="BD195" s="31">
        <v>193</v>
      </c>
      <c r="BE195" s="35">
        <v>96.5</v>
      </c>
      <c r="BF195" s="54" t="s">
        <v>0</v>
      </c>
    </row>
    <row r="196" spans="56:58" ht="39.950000000000003" hidden="1" customHeight="1" x14ac:dyDescent="0.25">
      <c r="BD196" s="31">
        <v>194</v>
      </c>
      <c r="BE196" s="35">
        <v>97</v>
      </c>
      <c r="BF196" s="54" t="s">
        <v>0</v>
      </c>
    </row>
    <row r="197" spans="56:58" ht="39.950000000000003" hidden="1" customHeight="1" x14ac:dyDescent="0.25">
      <c r="BD197" s="31">
        <v>195</v>
      </c>
      <c r="BE197" s="35">
        <v>97.5</v>
      </c>
      <c r="BF197" s="54" t="s">
        <v>0</v>
      </c>
    </row>
    <row r="198" spans="56:58" ht="39.950000000000003" hidden="1" customHeight="1" x14ac:dyDescent="0.25">
      <c r="BD198" s="31">
        <v>196</v>
      </c>
      <c r="BE198" s="35">
        <v>98</v>
      </c>
      <c r="BF198" s="54" t="s">
        <v>0</v>
      </c>
    </row>
    <row r="199" spans="56:58" ht="39.950000000000003" hidden="1" customHeight="1" x14ac:dyDescent="0.25">
      <c r="BD199" s="31">
        <v>197</v>
      </c>
      <c r="BE199" s="35">
        <v>98.5</v>
      </c>
      <c r="BF199" s="54" t="s">
        <v>0</v>
      </c>
    </row>
    <row r="200" spans="56:58" ht="39.950000000000003" hidden="1" customHeight="1" x14ac:dyDescent="0.25">
      <c r="BD200" s="31">
        <v>198</v>
      </c>
      <c r="BE200" s="35">
        <v>99</v>
      </c>
      <c r="BF200" s="54" t="s">
        <v>0</v>
      </c>
    </row>
    <row r="201" spans="56:58" ht="39.950000000000003" hidden="1" customHeight="1" x14ac:dyDescent="0.25">
      <c r="BD201" s="31">
        <v>199</v>
      </c>
      <c r="BE201" s="35">
        <v>99.5</v>
      </c>
      <c r="BF201" s="54" t="s">
        <v>0</v>
      </c>
    </row>
    <row r="202" spans="56:58" ht="39.950000000000003" hidden="1" customHeight="1" x14ac:dyDescent="0.25">
      <c r="BD202" s="31">
        <v>200</v>
      </c>
      <c r="BE202" s="35">
        <v>100</v>
      </c>
      <c r="BF202" s="54" t="s">
        <v>0</v>
      </c>
    </row>
    <row r="203" spans="56:58" ht="39.950000000000003" hidden="1" customHeight="1" x14ac:dyDescent="0.25">
      <c r="BD203" s="31">
        <v>201</v>
      </c>
      <c r="BE203" s="35">
        <v>100.5</v>
      </c>
      <c r="BF203" s="54" t="s">
        <v>0</v>
      </c>
    </row>
    <row r="204" spans="56:58" ht="39.950000000000003" hidden="1" customHeight="1" x14ac:dyDescent="0.25">
      <c r="BD204" s="31">
        <v>202</v>
      </c>
      <c r="BE204" s="35">
        <v>101</v>
      </c>
      <c r="BF204" s="54" t="s">
        <v>0</v>
      </c>
    </row>
    <row r="205" spans="56:58" ht="39.950000000000003" hidden="1" customHeight="1" x14ac:dyDescent="0.25">
      <c r="BD205" s="31">
        <v>203</v>
      </c>
      <c r="BE205" s="35">
        <v>101.5</v>
      </c>
      <c r="BF205" s="54" t="s">
        <v>0</v>
      </c>
    </row>
    <row r="206" spans="56:58" ht="39.950000000000003" hidden="1" customHeight="1" x14ac:dyDescent="0.25">
      <c r="BD206" s="31">
        <v>204</v>
      </c>
      <c r="BE206" s="35">
        <v>102</v>
      </c>
      <c r="BF206" s="54" t="s">
        <v>0</v>
      </c>
    </row>
    <row r="207" spans="56:58" ht="39.950000000000003" hidden="1" customHeight="1" x14ac:dyDescent="0.25">
      <c r="BD207" s="31">
        <v>205</v>
      </c>
      <c r="BE207" s="35">
        <v>102.5</v>
      </c>
      <c r="BF207" s="54" t="s">
        <v>0</v>
      </c>
    </row>
    <row r="208" spans="56:58" ht="39.950000000000003" hidden="1" customHeight="1" x14ac:dyDescent="0.25">
      <c r="BD208" s="31">
        <v>206</v>
      </c>
      <c r="BE208" s="35">
        <v>103</v>
      </c>
      <c r="BF208" s="54" t="s">
        <v>0</v>
      </c>
    </row>
    <row r="209" spans="56:58" ht="39.950000000000003" hidden="1" customHeight="1" x14ac:dyDescent="0.25">
      <c r="BD209" s="31">
        <v>207</v>
      </c>
      <c r="BE209" s="35">
        <v>103.5</v>
      </c>
      <c r="BF209" s="54" t="s">
        <v>0</v>
      </c>
    </row>
    <row r="210" spans="56:58" ht="39.950000000000003" hidden="1" customHeight="1" x14ac:dyDescent="0.25">
      <c r="BD210" s="31">
        <v>208</v>
      </c>
      <c r="BE210" s="35">
        <v>104</v>
      </c>
      <c r="BF210" s="54" t="s">
        <v>0</v>
      </c>
    </row>
    <row r="211" spans="56:58" ht="39.950000000000003" hidden="1" customHeight="1" x14ac:dyDescent="0.25">
      <c r="BD211" s="31">
        <v>209</v>
      </c>
      <c r="BE211" s="35">
        <v>104.5</v>
      </c>
      <c r="BF211" s="54" t="s">
        <v>0</v>
      </c>
    </row>
    <row r="212" spans="56:58" ht="39.950000000000003" hidden="1" customHeight="1" x14ac:dyDescent="0.25">
      <c r="BD212" s="31">
        <v>210</v>
      </c>
      <c r="BE212" s="35">
        <v>105</v>
      </c>
      <c r="BF212" s="54" t="s">
        <v>0</v>
      </c>
    </row>
    <row r="213" spans="56:58" ht="39.950000000000003" hidden="1" customHeight="1" x14ac:dyDescent="0.25">
      <c r="BD213" s="31">
        <v>211</v>
      </c>
      <c r="BE213" s="35">
        <v>105.5</v>
      </c>
      <c r="BF213" s="54" t="s">
        <v>0</v>
      </c>
    </row>
    <row r="214" spans="56:58" ht="39.950000000000003" hidden="1" customHeight="1" x14ac:dyDescent="0.25">
      <c r="BD214" s="31">
        <v>212</v>
      </c>
      <c r="BE214" s="35">
        <v>106</v>
      </c>
      <c r="BF214" s="54" t="s">
        <v>0</v>
      </c>
    </row>
    <row r="215" spans="56:58" ht="39.950000000000003" hidden="1" customHeight="1" x14ac:dyDescent="0.25">
      <c r="BD215" s="31">
        <v>213</v>
      </c>
      <c r="BE215" s="35">
        <v>106.5</v>
      </c>
      <c r="BF215" s="54" t="s">
        <v>0</v>
      </c>
    </row>
    <row r="216" spans="56:58" ht="39.950000000000003" hidden="1" customHeight="1" x14ac:dyDescent="0.25">
      <c r="BD216" s="31">
        <v>214</v>
      </c>
      <c r="BE216" s="35">
        <v>107</v>
      </c>
      <c r="BF216" s="54" t="s">
        <v>0</v>
      </c>
    </row>
    <row r="217" spans="56:58" ht="39.950000000000003" hidden="1" customHeight="1" x14ac:dyDescent="0.25">
      <c r="BD217" s="31">
        <v>215</v>
      </c>
      <c r="BE217" s="35">
        <v>107.5</v>
      </c>
      <c r="BF217" s="54" t="s">
        <v>0</v>
      </c>
    </row>
    <row r="218" spans="56:58" ht="39.950000000000003" hidden="1" customHeight="1" x14ac:dyDescent="0.25">
      <c r="BD218" s="31">
        <v>216</v>
      </c>
      <c r="BE218" s="35">
        <v>108</v>
      </c>
      <c r="BF218" s="54" t="s">
        <v>0</v>
      </c>
    </row>
    <row r="219" spans="56:58" ht="39.950000000000003" hidden="1" customHeight="1" x14ac:dyDescent="0.25">
      <c r="BD219" s="31">
        <v>217</v>
      </c>
      <c r="BE219" s="35">
        <v>108.5</v>
      </c>
      <c r="BF219" s="54" t="s">
        <v>0</v>
      </c>
    </row>
    <row r="220" spans="56:58" ht="39.950000000000003" hidden="1" customHeight="1" x14ac:dyDescent="0.25">
      <c r="BD220" s="31">
        <v>218</v>
      </c>
      <c r="BE220" s="35">
        <v>109</v>
      </c>
      <c r="BF220" s="54" t="s">
        <v>0</v>
      </c>
    </row>
    <row r="221" spans="56:58" ht="39.950000000000003" hidden="1" customHeight="1" x14ac:dyDescent="0.25">
      <c r="BD221" s="31">
        <v>219</v>
      </c>
      <c r="BE221" s="35">
        <v>109.5</v>
      </c>
      <c r="BF221" s="54" t="s">
        <v>0</v>
      </c>
    </row>
    <row r="222" spans="56:58" ht="39.950000000000003" hidden="1" customHeight="1" x14ac:dyDescent="0.25">
      <c r="BD222" s="31">
        <v>220</v>
      </c>
      <c r="BE222" s="35">
        <v>110</v>
      </c>
      <c r="BF222" s="54" t="s">
        <v>0</v>
      </c>
    </row>
    <row r="223" spans="56:58" ht="39.950000000000003" hidden="1" customHeight="1" x14ac:dyDescent="0.25">
      <c r="BD223" s="31">
        <v>221</v>
      </c>
      <c r="BE223" s="35">
        <v>110.5</v>
      </c>
      <c r="BF223" s="54" t="s">
        <v>0</v>
      </c>
    </row>
    <row r="224" spans="56:58" ht="39.950000000000003" hidden="1" customHeight="1" x14ac:dyDescent="0.25">
      <c r="BD224" s="31">
        <v>222</v>
      </c>
      <c r="BE224" s="35">
        <v>111</v>
      </c>
      <c r="BF224" s="54" t="s">
        <v>0</v>
      </c>
    </row>
    <row r="225" spans="56:58" ht="39.950000000000003" hidden="1" customHeight="1" x14ac:dyDescent="0.25">
      <c r="BD225" s="31">
        <v>223</v>
      </c>
      <c r="BE225" s="35">
        <v>111.5</v>
      </c>
      <c r="BF225" s="54" t="s">
        <v>0</v>
      </c>
    </row>
    <row r="226" spans="56:58" ht="39.950000000000003" hidden="1" customHeight="1" x14ac:dyDescent="0.25">
      <c r="BD226" s="31">
        <v>224</v>
      </c>
      <c r="BE226" s="35">
        <v>112</v>
      </c>
      <c r="BF226" s="54" t="s">
        <v>0</v>
      </c>
    </row>
    <row r="227" spans="56:58" ht="39.950000000000003" hidden="1" customHeight="1" x14ac:dyDescent="0.25">
      <c r="BD227" s="31">
        <v>225</v>
      </c>
      <c r="BE227" s="35">
        <v>112.5</v>
      </c>
      <c r="BF227" s="54" t="s">
        <v>0</v>
      </c>
    </row>
    <row r="228" spans="56:58" ht="39.950000000000003" hidden="1" customHeight="1" x14ac:dyDescent="0.25">
      <c r="BD228" s="31">
        <v>226</v>
      </c>
      <c r="BE228" s="35">
        <v>113</v>
      </c>
      <c r="BF228" s="54" t="s">
        <v>0</v>
      </c>
    </row>
    <row r="229" spans="56:58" ht="39.950000000000003" hidden="1" customHeight="1" x14ac:dyDescent="0.25">
      <c r="BD229" s="31">
        <v>227</v>
      </c>
      <c r="BE229" s="35">
        <v>113.5</v>
      </c>
      <c r="BF229" s="54" t="s">
        <v>0</v>
      </c>
    </row>
    <row r="230" spans="56:58" ht="39.950000000000003" hidden="1" customHeight="1" x14ac:dyDescent="0.25">
      <c r="BD230" s="31">
        <v>228</v>
      </c>
      <c r="BE230" s="35">
        <v>114</v>
      </c>
      <c r="BF230" s="54" t="s">
        <v>0</v>
      </c>
    </row>
    <row r="231" spans="56:58" ht="39.950000000000003" hidden="1" customHeight="1" x14ac:dyDescent="0.25">
      <c r="BD231" s="31">
        <v>229</v>
      </c>
      <c r="BE231" s="35">
        <v>114.5</v>
      </c>
      <c r="BF231" s="54" t="s">
        <v>0</v>
      </c>
    </row>
    <row r="232" spans="56:58" ht="39.950000000000003" hidden="1" customHeight="1" x14ac:dyDescent="0.25">
      <c r="BD232" s="31">
        <v>230</v>
      </c>
      <c r="BE232" s="35">
        <v>115</v>
      </c>
      <c r="BF232" s="54" t="s">
        <v>0</v>
      </c>
    </row>
    <row r="233" spans="56:58" ht="39.950000000000003" hidden="1" customHeight="1" x14ac:dyDescent="0.25">
      <c r="BD233" s="31">
        <v>231</v>
      </c>
      <c r="BE233" s="35">
        <v>115.5</v>
      </c>
      <c r="BF233" s="54" t="s">
        <v>0</v>
      </c>
    </row>
    <row r="234" spans="56:58" ht="39.950000000000003" hidden="1" customHeight="1" x14ac:dyDescent="0.25">
      <c r="BD234" s="31">
        <v>232</v>
      </c>
      <c r="BE234" s="35">
        <v>116</v>
      </c>
      <c r="BF234" s="54" t="s">
        <v>0</v>
      </c>
    </row>
    <row r="235" spans="56:58" ht="39.950000000000003" hidden="1" customHeight="1" x14ac:dyDescent="0.25">
      <c r="BD235" s="31">
        <v>233</v>
      </c>
      <c r="BE235" s="35">
        <v>116.5</v>
      </c>
      <c r="BF235" s="54" t="s">
        <v>0</v>
      </c>
    </row>
    <row r="236" spans="56:58" ht="39.950000000000003" hidden="1" customHeight="1" x14ac:dyDescent="0.25">
      <c r="BD236" s="31">
        <v>234</v>
      </c>
      <c r="BE236" s="35">
        <v>117</v>
      </c>
      <c r="BF236" s="54" t="s">
        <v>0</v>
      </c>
    </row>
    <row r="237" spans="56:58" ht="39.950000000000003" hidden="1" customHeight="1" x14ac:dyDescent="0.25">
      <c r="BD237" s="31">
        <v>235</v>
      </c>
      <c r="BE237" s="35">
        <v>117.5</v>
      </c>
      <c r="BF237" s="54" t="s">
        <v>0</v>
      </c>
    </row>
    <row r="238" spans="56:58" ht="39.950000000000003" hidden="1" customHeight="1" x14ac:dyDescent="0.25">
      <c r="BD238" s="31">
        <v>236</v>
      </c>
      <c r="BE238" s="35">
        <v>118</v>
      </c>
      <c r="BF238" s="54" t="s">
        <v>0</v>
      </c>
    </row>
    <row r="239" spans="56:58" ht="39.950000000000003" hidden="1" customHeight="1" x14ac:dyDescent="0.25">
      <c r="BD239" s="31">
        <v>237</v>
      </c>
      <c r="BE239" s="35">
        <v>118.5</v>
      </c>
      <c r="BF239" s="54" t="s">
        <v>0</v>
      </c>
    </row>
    <row r="240" spans="56:58" ht="39.950000000000003" hidden="1" customHeight="1" x14ac:dyDescent="0.25">
      <c r="BD240" s="31">
        <v>238</v>
      </c>
      <c r="BE240" s="35">
        <v>119</v>
      </c>
      <c r="BF240" s="54" t="s">
        <v>0</v>
      </c>
    </row>
    <row r="241" spans="1:58" ht="39.950000000000003" hidden="1" customHeight="1" x14ac:dyDescent="0.25">
      <c r="BD241" s="31">
        <v>239</v>
      </c>
      <c r="BE241" s="35">
        <v>119.5</v>
      </c>
      <c r="BF241" s="54" t="s">
        <v>0</v>
      </c>
    </row>
    <row r="242" spans="1:58" ht="39.950000000000003" hidden="1" customHeight="1" x14ac:dyDescent="0.25">
      <c r="BD242" s="31">
        <v>240</v>
      </c>
      <c r="BE242" s="35">
        <v>120</v>
      </c>
      <c r="BF242" s="54" t="s">
        <v>0</v>
      </c>
    </row>
    <row r="243" spans="1:58" ht="39.950000000000003" hidden="1" customHeight="1" x14ac:dyDescent="0.25">
      <c r="BD243" s="31">
        <v>241</v>
      </c>
      <c r="BE243" s="35">
        <v>120.5</v>
      </c>
      <c r="BF243" s="54" t="s">
        <v>0</v>
      </c>
    </row>
    <row r="244" spans="1:58" ht="39.950000000000003" hidden="1" customHeight="1" x14ac:dyDescent="0.25">
      <c r="BD244" s="31">
        <v>242</v>
      </c>
      <c r="BE244" s="35">
        <v>121</v>
      </c>
      <c r="BF244" s="54" t="s">
        <v>0</v>
      </c>
    </row>
    <row r="245" spans="1:58" ht="39.950000000000003" hidden="1" customHeight="1" x14ac:dyDescent="0.25">
      <c r="BD245" s="31">
        <v>243</v>
      </c>
      <c r="BE245" s="35">
        <v>121.5</v>
      </c>
      <c r="BF245" s="54" t="s">
        <v>0</v>
      </c>
    </row>
    <row r="246" spans="1:58" ht="39.950000000000003" hidden="1" customHeight="1" x14ac:dyDescent="0.25">
      <c r="BD246" s="31">
        <v>244</v>
      </c>
      <c r="BE246" s="35">
        <v>122</v>
      </c>
      <c r="BF246" s="54" t="s">
        <v>0</v>
      </c>
    </row>
    <row r="247" spans="1:58" ht="39.950000000000003" hidden="1" customHeight="1" x14ac:dyDescent="0.25">
      <c r="BD247" s="31">
        <v>245</v>
      </c>
      <c r="BE247" s="35">
        <v>122.5</v>
      </c>
      <c r="BF247" s="54" t="s">
        <v>0</v>
      </c>
    </row>
    <row r="248" spans="1:58" ht="39.950000000000003" hidden="1" customHeight="1" x14ac:dyDescent="0.25">
      <c r="BD248" s="31">
        <v>246</v>
      </c>
      <c r="BE248" s="35">
        <v>123</v>
      </c>
      <c r="BF248" s="54" t="s">
        <v>0</v>
      </c>
    </row>
    <row r="249" spans="1:58" ht="39.950000000000003" hidden="1" customHeight="1" x14ac:dyDescent="0.25">
      <c r="BD249" s="31">
        <v>247</v>
      </c>
      <c r="BE249" s="35">
        <v>123.5</v>
      </c>
      <c r="BF249" s="54" t="s">
        <v>0</v>
      </c>
    </row>
    <row r="250" spans="1:58" ht="39.950000000000003" hidden="1" customHeight="1" x14ac:dyDescent="0.25">
      <c r="BD250" s="31">
        <v>248</v>
      </c>
      <c r="BE250" s="35">
        <v>124</v>
      </c>
      <c r="BF250" s="54" t="s">
        <v>0</v>
      </c>
    </row>
    <row r="251" spans="1:58" ht="39.950000000000003" hidden="1" customHeight="1" x14ac:dyDescent="0.25">
      <c r="BD251" s="31">
        <v>249</v>
      </c>
      <c r="BE251" s="35">
        <v>124.5</v>
      </c>
      <c r="BF251" s="54" t="s">
        <v>0</v>
      </c>
    </row>
    <row r="252" spans="1:58" ht="39.950000000000003" hidden="1" customHeight="1" x14ac:dyDescent="0.25">
      <c r="BD252" s="31">
        <v>250</v>
      </c>
      <c r="BE252" s="35">
        <v>125</v>
      </c>
      <c r="BF252" s="54" t="s">
        <v>0</v>
      </c>
    </row>
    <row r="253" spans="1:58" ht="39.950000000000003" hidden="1" customHeight="1" x14ac:dyDescent="0.25">
      <c r="BD253" s="31">
        <v>251</v>
      </c>
      <c r="BE253" s="35">
        <v>125.5</v>
      </c>
      <c r="BF253" s="54" t="s">
        <v>0</v>
      </c>
    </row>
    <row r="254" spans="1:58" s="30" customFormat="1" ht="39.950000000000003" hidden="1" customHeight="1"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v>252</v>
      </c>
      <c r="BE254" s="35">
        <v>126</v>
      </c>
      <c r="BF254" s="54" t="s">
        <v>0</v>
      </c>
    </row>
    <row r="255" spans="1:58" s="30" customFormat="1" ht="39.950000000000003" hidden="1" customHeight="1"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v>253</v>
      </c>
      <c r="BE255" s="35">
        <v>126.5</v>
      </c>
      <c r="BF255" s="54" t="s">
        <v>0</v>
      </c>
    </row>
    <row r="256" spans="1:58" s="30" customFormat="1" ht="39.950000000000003" hidden="1" customHeight="1"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v>254</v>
      </c>
      <c r="BE256" s="35">
        <v>127</v>
      </c>
      <c r="BF256" s="54" t="s">
        <v>0</v>
      </c>
    </row>
    <row r="257" spans="1:58" s="30" customFormat="1" ht="39.950000000000003" hidden="1" customHeight="1"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v>255</v>
      </c>
      <c r="BE257" s="35">
        <v>127.5</v>
      </c>
      <c r="BF257" s="54" t="s">
        <v>0</v>
      </c>
    </row>
    <row r="258" spans="1:58" s="30" customFormat="1" ht="39.950000000000003" hidden="1" customHeight="1"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v>256</v>
      </c>
      <c r="BE258" s="35">
        <v>128</v>
      </c>
      <c r="BF258" s="54" t="s">
        <v>0</v>
      </c>
    </row>
    <row r="259" spans="1:58" s="30" customFormat="1" ht="39.950000000000003" hidden="1" customHeight="1"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v>257</v>
      </c>
      <c r="BE259" s="35">
        <v>128.5</v>
      </c>
      <c r="BF259" s="54" t="s">
        <v>0</v>
      </c>
    </row>
    <row r="260" spans="1:58" s="30" customFormat="1" ht="39.950000000000003" hidden="1" customHeight="1"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v>258</v>
      </c>
      <c r="BE260" s="35">
        <v>129</v>
      </c>
      <c r="BF260" s="54" t="s">
        <v>0</v>
      </c>
    </row>
    <row r="261" spans="1:58" s="30" customFormat="1" ht="39.950000000000003" hidden="1" customHeight="1"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v>259</v>
      </c>
      <c r="BE261" s="35">
        <v>129.5</v>
      </c>
      <c r="BF261" s="54" t="s">
        <v>0</v>
      </c>
    </row>
    <row r="262" spans="1:58" s="30" customFormat="1" ht="39.950000000000003" hidden="1" customHeight="1"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v>260</v>
      </c>
      <c r="BE262" s="35">
        <v>130</v>
      </c>
      <c r="BF262" s="54" t="s">
        <v>0</v>
      </c>
    </row>
    <row r="263" spans="1:58" s="30" customFormat="1" ht="39.950000000000003" hidden="1" customHeight="1"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v>261</v>
      </c>
      <c r="BE263" s="35">
        <v>130.5</v>
      </c>
      <c r="BF263" s="54" t="s">
        <v>0</v>
      </c>
    </row>
    <row r="264" spans="1:58" s="30" customFormat="1" ht="39.950000000000003" hidden="1" customHeight="1"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v>262</v>
      </c>
      <c r="BE264" s="35">
        <v>131</v>
      </c>
      <c r="BF264" s="54" t="s">
        <v>0</v>
      </c>
    </row>
    <row r="265" spans="1:58" s="30" customFormat="1" ht="39.950000000000003" hidden="1" customHeight="1"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v>263</v>
      </c>
      <c r="BE265" s="35">
        <v>131.5</v>
      </c>
      <c r="BF265" s="54" t="s">
        <v>0</v>
      </c>
    </row>
    <row r="266" spans="1:58" s="30" customFormat="1" ht="39.950000000000003" hidden="1" customHeight="1"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v>264</v>
      </c>
      <c r="BE266" s="35">
        <v>132</v>
      </c>
      <c r="BF266" s="54" t="s">
        <v>0</v>
      </c>
    </row>
    <row r="267" spans="1:58" s="30" customFormat="1" ht="39.950000000000003" hidden="1" customHeight="1"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v>265</v>
      </c>
      <c r="BE267" s="35">
        <v>132.5</v>
      </c>
      <c r="BF267" s="54" t="s">
        <v>0</v>
      </c>
    </row>
    <row r="268" spans="1:58" s="30" customFormat="1" ht="39.950000000000003" hidden="1" customHeight="1"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v>266</v>
      </c>
      <c r="BE268" s="35">
        <v>133</v>
      </c>
      <c r="BF268" s="54" t="s">
        <v>0</v>
      </c>
    </row>
    <row r="269" spans="1:58" s="30" customFormat="1" ht="39.950000000000003" hidden="1" customHeight="1"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v>267</v>
      </c>
      <c r="BE269" s="35">
        <v>133.5</v>
      </c>
      <c r="BF269" s="54" t="s">
        <v>0</v>
      </c>
    </row>
    <row r="270" spans="1:58" ht="39.950000000000003" hidden="1" customHeight="1" x14ac:dyDescent="0.25">
      <c r="BD270" s="31">
        <v>268</v>
      </c>
      <c r="BE270" s="35">
        <v>134</v>
      </c>
      <c r="BF270" s="54" t="s">
        <v>0</v>
      </c>
    </row>
    <row r="271" spans="1:58" ht="39.950000000000003" hidden="1" customHeight="1" x14ac:dyDescent="0.25">
      <c r="BD271" s="31">
        <v>269</v>
      </c>
      <c r="BE271" s="35">
        <v>134.5</v>
      </c>
      <c r="BF271" s="54" t="s">
        <v>0</v>
      </c>
    </row>
    <row r="272" spans="1:58" ht="39.950000000000003" hidden="1" customHeight="1" x14ac:dyDescent="0.25">
      <c r="BD272" s="31">
        <v>270</v>
      </c>
      <c r="BE272" s="35">
        <v>135</v>
      </c>
      <c r="BF272" s="54" t="s">
        <v>0</v>
      </c>
    </row>
    <row r="273" spans="56:58" ht="39.950000000000003" hidden="1" customHeight="1" x14ac:dyDescent="0.25">
      <c r="BD273" s="31">
        <v>271</v>
      </c>
      <c r="BE273" s="35">
        <v>135.5</v>
      </c>
      <c r="BF273" s="54" t="s">
        <v>0</v>
      </c>
    </row>
    <row r="274" spans="56:58" ht="39.950000000000003" hidden="1" customHeight="1" x14ac:dyDescent="0.25">
      <c r="BD274" s="31">
        <v>272</v>
      </c>
      <c r="BE274" s="35">
        <v>136</v>
      </c>
      <c r="BF274" s="54" t="s">
        <v>0</v>
      </c>
    </row>
    <row r="275" spans="56:58" ht="39.950000000000003" hidden="1" customHeight="1" x14ac:dyDescent="0.25">
      <c r="BD275" s="31">
        <v>273</v>
      </c>
      <c r="BE275" s="35">
        <v>136.5</v>
      </c>
      <c r="BF275" s="54" t="s">
        <v>0</v>
      </c>
    </row>
    <row r="276" spans="56:58" ht="39.950000000000003" hidden="1" customHeight="1" x14ac:dyDescent="0.25">
      <c r="BD276" s="31">
        <v>274</v>
      </c>
      <c r="BE276" s="35">
        <v>137</v>
      </c>
      <c r="BF276" s="54" t="s">
        <v>0</v>
      </c>
    </row>
    <row r="277" spans="56:58" ht="39.950000000000003" hidden="1" customHeight="1" x14ac:dyDescent="0.25">
      <c r="BD277" s="31">
        <v>275</v>
      </c>
      <c r="BE277" s="35">
        <v>137.5</v>
      </c>
      <c r="BF277" s="54" t="s">
        <v>0</v>
      </c>
    </row>
    <row r="278" spans="56:58" ht="39.950000000000003" hidden="1" customHeight="1" x14ac:dyDescent="0.25">
      <c r="BD278" s="31">
        <v>276</v>
      </c>
      <c r="BE278" s="35">
        <v>138</v>
      </c>
      <c r="BF278" s="54" t="s">
        <v>0</v>
      </c>
    </row>
    <row r="279" spans="56:58" ht="39.950000000000003" hidden="1" customHeight="1" x14ac:dyDescent="0.25">
      <c r="BD279" s="31">
        <v>277</v>
      </c>
      <c r="BE279" s="35">
        <v>138.5</v>
      </c>
      <c r="BF279" s="54" t="s">
        <v>0</v>
      </c>
    </row>
    <row r="280" spans="56:58" ht="39.950000000000003" hidden="1" customHeight="1" x14ac:dyDescent="0.25">
      <c r="BD280" s="31">
        <v>278</v>
      </c>
      <c r="BE280" s="35">
        <v>139</v>
      </c>
      <c r="BF280" s="54" t="s">
        <v>0</v>
      </c>
    </row>
    <row r="281" spans="56:58" ht="39.950000000000003" hidden="1" customHeight="1" x14ac:dyDescent="0.25">
      <c r="BD281" s="31">
        <v>279</v>
      </c>
      <c r="BE281" s="35">
        <v>139.5</v>
      </c>
      <c r="BF281" s="54" t="s">
        <v>0</v>
      </c>
    </row>
    <row r="282" spans="56:58" ht="39.950000000000003" hidden="1" customHeight="1" x14ac:dyDescent="0.25">
      <c r="BD282" s="31">
        <v>280</v>
      </c>
      <c r="BE282" s="35">
        <v>140</v>
      </c>
      <c r="BF282" s="54" t="s">
        <v>0</v>
      </c>
    </row>
    <row r="283" spans="56:58" ht="39.950000000000003" hidden="1" customHeight="1" x14ac:dyDescent="0.25">
      <c r="BD283" s="31">
        <v>281</v>
      </c>
      <c r="BE283" s="35">
        <v>140.5</v>
      </c>
      <c r="BF283" s="54" t="s">
        <v>0</v>
      </c>
    </row>
    <row r="284" spans="56:58" ht="39.950000000000003" hidden="1" customHeight="1" x14ac:dyDescent="0.25">
      <c r="BD284" s="31">
        <v>282</v>
      </c>
      <c r="BE284" s="35">
        <v>141</v>
      </c>
      <c r="BF284" s="54" t="s">
        <v>0</v>
      </c>
    </row>
    <row r="285" spans="56:58" ht="39.950000000000003" hidden="1" customHeight="1" x14ac:dyDescent="0.25">
      <c r="BD285" s="31">
        <v>283</v>
      </c>
      <c r="BE285" s="35">
        <v>141.5</v>
      </c>
      <c r="BF285" s="54" t="s">
        <v>0</v>
      </c>
    </row>
    <row r="286" spans="56:58" ht="39.950000000000003" hidden="1" customHeight="1" x14ac:dyDescent="0.25">
      <c r="BD286" s="31">
        <v>284</v>
      </c>
      <c r="BE286" s="35">
        <v>142</v>
      </c>
      <c r="BF286" s="54" t="s">
        <v>0</v>
      </c>
    </row>
    <row r="287" spans="56:58" ht="39.950000000000003" hidden="1" customHeight="1" x14ac:dyDescent="0.25">
      <c r="BD287" s="31">
        <v>285</v>
      </c>
      <c r="BE287" s="35">
        <v>142.5</v>
      </c>
      <c r="BF287" s="54" t="s">
        <v>0</v>
      </c>
    </row>
    <row r="288" spans="56:58" ht="39.950000000000003" hidden="1" customHeight="1" x14ac:dyDescent="0.25">
      <c r="BD288" s="31">
        <v>286</v>
      </c>
      <c r="BE288" s="35">
        <v>143</v>
      </c>
      <c r="BF288" s="54" t="s">
        <v>0</v>
      </c>
    </row>
    <row r="289" spans="56:58" ht="39.950000000000003" hidden="1" customHeight="1" x14ac:dyDescent="0.25">
      <c r="BD289" s="31">
        <v>287</v>
      </c>
      <c r="BE289" s="35">
        <v>143.5</v>
      </c>
      <c r="BF289" s="54" t="s">
        <v>0</v>
      </c>
    </row>
    <row r="290" spans="56:58" ht="39.950000000000003" hidden="1" customHeight="1" x14ac:dyDescent="0.25">
      <c r="BD290" s="31">
        <v>288</v>
      </c>
      <c r="BE290" s="35">
        <v>144</v>
      </c>
      <c r="BF290" s="54" t="s">
        <v>0</v>
      </c>
    </row>
    <row r="291" spans="56:58" ht="39.950000000000003" hidden="1" customHeight="1" x14ac:dyDescent="0.25">
      <c r="BD291" s="31">
        <v>289</v>
      </c>
      <c r="BE291" s="35">
        <v>144.5</v>
      </c>
      <c r="BF291" s="54" t="s">
        <v>0</v>
      </c>
    </row>
    <row r="292" spans="56:58" ht="39.950000000000003" hidden="1" customHeight="1" x14ac:dyDescent="0.25">
      <c r="BD292" s="31">
        <v>290</v>
      </c>
      <c r="BE292" s="35">
        <v>145</v>
      </c>
      <c r="BF292" s="54" t="s">
        <v>0</v>
      </c>
    </row>
    <row r="293" spans="56:58" ht="39.950000000000003" hidden="1" customHeight="1" x14ac:dyDescent="0.25">
      <c r="BD293" s="31">
        <v>291</v>
      </c>
      <c r="BE293" s="35">
        <v>145.5</v>
      </c>
      <c r="BF293" s="54" t="s">
        <v>0</v>
      </c>
    </row>
    <row r="294" spans="56:58" ht="39.950000000000003" hidden="1" customHeight="1" x14ac:dyDescent="0.25">
      <c r="BD294" s="31">
        <v>292</v>
      </c>
      <c r="BE294" s="35">
        <v>146</v>
      </c>
      <c r="BF294" s="54" t="s">
        <v>0</v>
      </c>
    </row>
    <row r="295" spans="56:58" ht="39.950000000000003" hidden="1" customHeight="1" x14ac:dyDescent="0.25">
      <c r="BD295" s="31">
        <v>293</v>
      </c>
      <c r="BE295" s="35">
        <v>146.5</v>
      </c>
      <c r="BF295" s="54" t="s">
        <v>0</v>
      </c>
    </row>
    <row r="296" spans="56:58" ht="39.950000000000003" hidden="1" customHeight="1" x14ac:dyDescent="0.25">
      <c r="BD296" s="31">
        <v>294</v>
      </c>
      <c r="BE296" s="35">
        <v>147</v>
      </c>
      <c r="BF296" s="54" t="s">
        <v>0</v>
      </c>
    </row>
    <row r="297" spans="56:58" ht="39.950000000000003" hidden="1" customHeight="1" x14ac:dyDescent="0.25">
      <c r="BD297" s="31">
        <v>295</v>
      </c>
      <c r="BE297" s="35">
        <v>147.5</v>
      </c>
      <c r="BF297" s="54" t="s">
        <v>0</v>
      </c>
    </row>
    <row r="298" spans="56:58" ht="39.950000000000003" hidden="1" customHeight="1" x14ac:dyDescent="0.25">
      <c r="BD298" s="31">
        <v>296</v>
      </c>
      <c r="BE298" s="35">
        <v>148</v>
      </c>
      <c r="BF298" s="54" t="s">
        <v>0</v>
      </c>
    </row>
    <row r="299" spans="56:58" ht="39.950000000000003" hidden="1" customHeight="1" x14ac:dyDescent="0.25">
      <c r="BD299" s="31">
        <v>297</v>
      </c>
      <c r="BE299" s="35">
        <v>148.5</v>
      </c>
      <c r="BF299" s="54" t="s">
        <v>0</v>
      </c>
    </row>
    <row r="300" spans="56:58" ht="39.950000000000003" hidden="1" customHeight="1" x14ac:dyDescent="0.25">
      <c r="BD300" s="31">
        <v>298</v>
      </c>
      <c r="BE300" s="35">
        <v>149</v>
      </c>
      <c r="BF300" s="54" t="s">
        <v>0</v>
      </c>
    </row>
    <row r="301" spans="56:58" ht="39.950000000000003" hidden="1" customHeight="1" x14ac:dyDescent="0.25">
      <c r="BD301" s="31">
        <v>299</v>
      </c>
      <c r="BE301" s="35">
        <v>149.5</v>
      </c>
      <c r="BF301" s="54" t="s">
        <v>0</v>
      </c>
    </row>
    <row r="302" spans="56:58" ht="39.950000000000003" hidden="1" customHeight="1" x14ac:dyDescent="0.25">
      <c r="BD302" s="31">
        <v>300</v>
      </c>
      <c r="BE302" s="35">
        <v>150</v>
      </c>
      <c r="BF302" s="54" t="s">
        <v>0</v>
      </c>
    </row>
    <row r="303" spans="56:58" ht="39.950000000000003" hidden="1" customHeight="1" x14ac:dyDescent="0.25">
      <c r="BD303" s="31">
        <v>301</v>
      </c>
      <c r="BE303" s="35">
        <v>150.5</v>
      </c>
      <c r="BF303" s="54" t="s">
        <v>0</v>
      </c>
    </row>
    <row r="304" spans="56:58" ht="39.950000000000003" hidden="1" customHeight="1" x14ac:dyDescent="0.25">
      <c r="BD304" s="31">
        <v>302</v>
      </c>
      <c r="BE304" s="35">
        <v>151</v>
      </c>
      <c r="BF304" s="54" t="s">
        <v>0</v>
      </c>
    </row>
    <row r="305" spans="56:58" ht="39.950000000000003" hidden="1" customHeight="1" x14ac:dyDescent="0.25">
      <c r="BD305" s="31">
        <v>303</v>
      </c>
      <c r="BE305" s="35">
        <v>151.5</v>
      </c>
      <c r="BF305" s="54" t="s">
        <v>0</v>
      </c>
    </row>
    <row r="306" spans="56:58" ht="39.950000000000003" hidden="1" customHeight="1" x14ac:dyDescent="0.25">
      <c r="BD306" s="31">
        <v>304</v>
      </c>
      <c r="BE306" s="35">
        <v>152</v>
      </c>
      <c r="BF306" s="54" t="s">
        <v>0</v>
      </c>
    </row>
    <row r="307" spans="56:58" ht="39.950000000000003" hidden="1" customHeight="1" x14ac:dyDescent="0.25">
      <c r="BD307" s="31">
        <v>305</v>
      </c>
      <c r="BE307" s="35">
        <v>152.5</v>
      </c>
      <c r="BF307" s="54" t="s">
        <v>0</v>
      </c>
    </row>
    <row r="308" spans="56:58" ht="39.950000000000003" hidden="1" customHeight="1" x14ac:dyDescent="0.25">
      <c r="BD308" s="31">
        <v>306</v>
      </c>
      <c r="BE308" s="35">
        <v>153</v>
      </c>
      <c r="BF308" s="54" t="s">
        <v>0</v>
      </c>
    </row>
    <row r="309" spans="56:58" ht="39.950000000000003" hidden="1" customHeight="1" x14ac:dyDescent="0.25">
      <c r="BD309" s="31">
        <v>307</v>
      </c>
      <c r="BE309" s="35">
        <v>153.5</v>
      </c>
      <c r="BF309" s="54" t="s">
        <v>0</v>
      </c>
    </row>
    <row r="310" spans="56:58" ht="39.950000000000003" hidden="1" customHeight="1" x14ac:dyDescent="0.25">
      <c r="BD310" s="31">
        <v>308</v>
      </c>
      <c r="BE310" s="35">
        <v>154</v>
      </c>
      <c r="BF310" s="54" t="s">
        <v>0</v>
      </c>
    </row>
    <row r="311" spans="56:58" ht="39.950000000000003" hidden="1" customHeight="1" x14ac:dyDescent="0.25">
      <c r="BD311" s="31">
        <v>309</v>
      </c>
      <c r="BE311" s="35">
        <v>154.5</v>
      </c>
      <c r="BF311" s="54" t="s">
        <v>0</v>
      </c>
    </row>
    <row r="312" spans="56:58" ht="39.950000000000003" hidden="1" customHeight="1" x14ac:dyDescent="0.25">
      <c r="BD312" s="31">
        <v>310</v>
      </c>
      <c r="BE312" s="35">
        <v>155</v>
      </c>
      <c r="BF312" s="54" t="s">
        <v>0</v>
      </c>
    </row>
    <row r="313" spans="56:58" ht="39.950000000000003" hidden="1" customHeight="1" x14ac:dyDescent="0.25">
      <c r="BD313" s="31">
        <v>311</v>
      </c>
      <c r="BE313" s="35">
        <v>155.5</v>
      </c>
      <c r="BF313" s="54" t="s">
        <v>0</v>
      </c>
    </row>
    <row r="314" spans="56:58" ht="39.950000000000003" hidden="1" customHeight="1" x14ac:dyDescent="0.25">
      <c r="BD314" s="31">
        <v>312</v>
      </c>
      <c r="BE314" s="35">
        <v>156</v>
      </c>
      <c r="BF314" s="54" t="s">
        <v>0</v>
      </c>
    </row>
    <row r="315" spans="56:58" ht="39.950000000000003" hidden="1" customHeight="1" x14ac:dyDescent="0.25">
      <c r="BD315" s="31">
        <v>313</v>
      </c>
      <c r="BE315" s="35">
        <v>156.5</v>
      </c>
      <c r="BF315" s="54" t="s">
        <v>0</v>
      </c>
    </row>
    <row r="316" spans="56:58" ht="39.950000000000003" hidden="1" customHeight="1" x14ac:dyDescent="0.25">
      <c r="BD316" s="31">
        <v>314</v>
      </c>
      <c r="BE316" s="35">
        <v>157</v>
      </c>
      <c r="BF316" s="54" t="s">
        <v>0</v>
      </c>
    </row>
    <row r="317" spans="56:58" ht="39.950000000000003" hidden="1" customHeight="1" x14ac:dyDescent="0.25">
      <c r="BD317" s="31">
        <v>315</v>
      </c>
      <c r="BE317" s="35">
        <v>157.5</v>
      </c>
      <c r="BF317" s="54" t="s">
        <v>0</v>
      </c>
    </row>
    <row r="318" spans="56:58" ht="39.950000000000003" hidden="1" customHeight="1" x14ac:dyDescent="0.25">
      <c r="BD318" s="31">
        <v>316</v>
      </c>
      <c r="BE318" s="35">
        <v>158</v>
      </c>
      <c r="BF318" s="54" t="s">
        <v>0</v>
      </c>
    </row>
    <row r="319" spans="56:58" ht="39.950000000000003" hidden="1" customHeight="1" x14ac:dyDescent="0.25">
      <c r="BD319" s="31">
        <v>317</v>
      </c>
      <c r="BE319" s="35">
        <v>158.5</v>
      </c>
      <c r="BF319" s="54" t="s">
        <v>0</v>
      </c>
    </row>
    <row r="320" spans="56:58" ht="39.950000000000003" hidden="1" customHeight="1" x14ac:dyDescent="0.25">
      <c r="BD320" s="31">
        <v>318</v>
      </c>
      <c r="BE320" s="35">
        <v>159</v>
      </c>
      <c r="BF320" s="54" t="s">
        <v>0</v>
      </c>
    </row>
    <row r="321" spans="56:58" ht="39.950000000000003" hidden="1" customHeight="1" x14ac:dyDescent="0.25">
      <c r="BD321" s="31">
        <v>319</v>
      </c>
      <c r="BE321" s="35">
        <v>159.5</v>
      </c>
      <c r="BF321" s="54" t="s">
        <v>0</v>
      </c>
    </row>
    <row r="322" spans="56:58" ht="39.950000000000003" hidden="1" customHeight="1" x14ac:dyDescent="0.25">
      <c r="BD322" s="31">
        <v>320</v>
      </c>
      <c r="BE322" s="35">
        <v>160</v>
      </c>
      <c r="BF322" s="54" t="s">
        <v>0</v>
      </c>
    </row>
    <row r="323" spans="56:58" ht="39.950000000000003" hidden="1" customHeight="1" x14ac:dyDescent="0.25">
      <c r="BD323" s="31">
        <v>321</v>
      </c>
      <c r="BE323" s="35">
        <v>160.5</v>
      </c>
      <c r="BF323" s="54" t="s">
        <v>0</v>
      </c>
    </row>
    <row r="324" spans="56:58" ht="39.950000000000003" hidden="1" customHeight="1" x14ac:dyDescent="0.25">
      <c r="BD324" s="31">
        <v>322</v>
      </c>
      <c r="BE324" s="35">
        <v>161</v>
      </c>
      <c r="BF324" s="54" t="s">
        <v>0</v>
      </c>
    </row>
    <row r="325" spans="56:58" ht="39.950000000000003" hidden="1" customHeight="1" x14ac:dyDescent="0.25">
      <c r="BD325" s="31">
        <v>323</v>
      </c>
      <c r="BE325" s="35">
        <v>161.5</v>
      </c>
      <c r="BF325" s="54" t="s">
        <v>0</v>
      </c>
    </row>
    <row r="326" spans="56:58" ht="39.950000000000003" hidden="1" customHeight="1" x14ac:dyDescent="0.25">
      <c r="BD326" s="31">
        <v>324</v>
      </c>
      <c r="BE326" s="35">
        <v>162</v>
      </c>
      <c r="BF326" s="54" t="s">
        <v>0</v>
      </c>
    </row>
    <row r="327" spans="56:58" ht="39.950000000000003" hidden="1" customHeight="1" x14ac:dyDescent="0.25">
      <c r="BD327" s="31">
        <v>325</v>
      </c>
      <c r="BE327" s="35">
        <v>162.5</v>
      </c>
      <c r="BF327" s="54" t="s">
        <v>0</v>
      </c>
    </row>
    <row r="328" spans="56:58" ht="39.950000000000003" hidden="1" customHeight="1" x14ac:dyDescent="0.25">
      <c r="BD328" s="31">
        <v>326</v>
      </c>
      <c r="BE328" s="35">
        <v>163</v>
      </c>
      <c r="BF328" s="54" t="s">
        <v>0</v>
      </c>
    </row>
    <row r="329" spans="56:58" ht="39.950000000000003" hidden="1" customHeight="1" x14ac:dyDescent="0.25">
      <c r="BD329" s="31">
        <v>327</v>
      </c>
      <c r="BE329" s="35">
        <v>163.5</v>
      </c>
      <c r="BF329" s="54" t="s">
        <v>0</v>
      </c>
    </row>
    <row r="330" spans="56:58" ht="39.950000000000003" hidden="1" customHeight="1" x14ac:dyDescent="0.25">
      <c r="BD330" s="31">
        <v>328</v>
      </c>
      <c r="BE330" s="35">
        <v>164</v>
      </c>
      <c r="BF330" s="54" t="s">
        <v>0</v>
      </c>
    </row>
    <row r="331" spans="56:58" ht="39.950000000000003" hidden="1" customHeight="1" x14ac:dyDescent="0.25">
      <c r="BD331" s="31">
        <v>329</v>
      </c>
      <c r="BE331" s="35">
        <v>164.5</v>
      </c>
      <c r="BF331" s="54" t="s">
        <v>0</v>
      </c>
    </row>
    <row r="332" spans="56:58" ht="39.950000000000003" hidden="1" customHeight="1" x14ac:dyDescent="0.25">
      <c r="BD332" s="31">
        <v>330</v>
      </c>
      <c r="BE332" s="35">
        <v>165</v>
      </c>
      <c r="BF332" s="54" t="s">
        <v>0</v>
      </c>
    </row>
    <row r="333" spans="56:58" ht="39.950000000000003" hidden="1" customHeight="1" x14ac:dyDescent="0.25">
      <c r="BD333" s="31">
        <v>331</v>
      </c>
      <c r="BE333" s="35">
        <v>165.5</v>
      </c>
      <c r="BF333" s="54" t="s">
        <v>0</v>
      </c>
    </row>
    <row r="334" spans="56:58" ht="39.950000000000003" hidden="1" customHeight="1" x14ac:dyDescent="0.25">
      <c r="BD334" s="31">
        <v>332</v>
      </c>
      <c r="BE334" s="35">
        <v>166</v>
      </c>
      <c r="BF334" s="54" t="s">
        <v>0</v>
      </c>
    </row>
    <row r="335" spans="56:58" ht="39.950000000000003" hidden="1" customHeight="1" x14ac:dyDescent="0.25">
      <c r="BD335" s="31">
        <v>333</v>
      </c>
      <c r="BE335" s="35">
        <v>166.5</v>
      </c>
      <c r="BF335" s="54" t="s">
        <v>0</v>
      </c>
    </row>
    <row r="336" spans="56:58" ht="39.950000000000003" hidden="1" customHeight="1" x14ac:dyDescent="0.25">
      <c r="BD336" s="31">
        <v>334</v>
      </c>
      <c r="BE336" s="35">
        <v>167</v>
      </c>
      <c r="BF336" s="54" t="s">
        <v>0</v>
      </c>
    </row>
    <row r="337" spans="56:58" ht="39.950000000000003" hidden="1" customHeight="1" x14ac:dyDescent="0.25">
      <c r="BD337" s="31">
        <v>335</v>
      </c>
      <c r="BE337" s="35">
        <v>167.5</v>
      </c>
      <c r="BF337" s="54" t="s">
        <v>0</v>
      </c>
    </row>
    <row r="338" spans="56:58" ht="39.950000000000003" hidden="1" customHeight="1" x14ac:dyDescent="0.25">
      <c r="BD338" s="31">
        <v>336</v>
      </c>
      <c r="BE338" s="35">
        <v>168</v>
      </c>
      <c r="BF338" s="54" t="s">
        <v>0</v>
      </c>
    </row>
    <row r="339" spans="56:58" ht="39.950000000000003" hidden="1" customHeight="1" x14ac:dyDescent="0.25">
      <c r="BD339" s="31">
        <v>337</v>
      </c>
      <c r="BE339" s="35">
        <v>168.5</v>
      </c>
      <c r="BF339" s="54" t="s">
        <v>0</v>
      </c>
    </row>
    <row r="340" spans="56:58" ht="39.950000000000003" hidden="1" customHeight="1" x14ac:dyDescent="0.25">
      <c r="BD340" s="31">
        <v>338</v>
      </c>
      <c r="BE340" s="35">
        <v>169</v>
      </c>
      <c r="BF340" s="54" t="s">
        <v>0</v>
      </c>
    </row>
    <row r="341" spans="56:58" ht="39.950000000000003" hidden="1" customHeight="1" x14ac:dyDescent="0.25">
      <c r="BD341" s="31">
        <v>339</v>
      </c>
      <c r="BE341" s="35">
        <v>169.5</v>
      </c>
      <c r="BF341" s="54" t="s">
        <v>0</v>
      </c>
    </row>
    <row r="342" spans="56:58" ht="39.950000000000003" hidden="1" customHeight="1" x14ac:dyDescent="0.25">
      <c r="BD342" s="31">
        <v>340</v>
      </c>
      <c r="BE342" s="35">
        <v>170</v>
      </c>
      <c r="BF342" s="54" t="s">
        <v>0</v>
      </c>
    </row>
    <row r="343" spans="56:58" ht="39.950000000000003" hidden="1" customHeight="1" x14ac:dyDescent="0.25">
      <c r="BD343" s="31">
        <v>341</v>
      </c>
      <c r="BE343" s="35">
        <v>170.5</v>
      </c>
      <c r="BF343" s="54" t="s">
        <v>0</v>
      </c>
    </row>
    <row r="344" spans="56:58" ht="39.950000000000003" hidden="1" customHeight="1" x14ac:dyDescent="0.25">
      <c r="BD344" s="31">
        <v>342</v>
      </c>
      <c r="BE344" s="35">
        <v>171</v>
      </c>
      <c r="BF344" s="54" t="s">
        <v>0</v>
      </c>
    </row>
    <row r="345" spans="56:58" ht="39.950000000000003" hidden="1" customHeight="1" x14ac:dyDescent="0.25">
      <c r="BD345" s="31">
        <v>343</v>
      </c>
      <c r="BE345" s="35">
        <v>171.5</v>
      </c>
      <c r="BF345" s="54" t="s">
        <v>0</v>
      </c>
    </row>
    <row r="346" spans="56:58" ht="39.950000000000003" hidden="1" customHeight="1" x14ac:dyDescent="0.25">
      <c r="BD346" s="31">
        <v>344</v>
      </c>
      <c r="BE346" s="35">
        <v>172</v>
      </c>
      <c r="BF346" s="54" t="s">
        <v>0</v>
      </c>
    </row>
    <row r="347" spans="56:58" ht="39.950000000000003" hidden="1" customHeight="1" x14ac:dyDescent="0.25">
      <c r="BD347" s="31">
        <v>345</v>
      </c>
      <c r="BE347" s="35">
        <v>172.5</v>
      </c>
      <c r="BF347" s="54" t="s">
        <v>0</v>
      </c>
    </row>
    <row r="348" spans="56:58" ht="39.950000000000003" hidden="1" customHeight="1" x14ac:dyDescent="0.25">
      <c r="BD348" s="31">
        <v>346</v>
      </c>
      <c r="BE348" s="35">
        <v>173</v>
      </c>
      <c r="BF348" s="54" t="s">
        <v>0</v>
      </c>
    </row>
    <row r="349" spans="56:58" ht="39.950000000000003" hidden="1" customHeight="1" x14ac:dyDescent="0.25">
      <c r="BD349" s="31">
        <v>347</v>
      </c>
      <c r="BE349" s="35">
        <v>173.5</v>
      </c>
      <c r="BF349" s="54" t="s">
        <v>0</v>
      </c>
    </row>
    <row r="350" spans="56:58" ht="39.950000000000003" hidden="1" customHeight="1" x14ac:dyDescent="0.25">
      <c r="BD350" s="31">
        <v>348</v>
      </c>
      <c r="BE350" s="35">
        <v>174</v>
      </c>
      <c r="BF350" s="54" t="s">
        <v>0</v>
      </c>
    </row>
    <row r="351" spans="56:58" ht="39.950000000000003" hidden="1" customHeight="1" x14ac:dyDescent="0.25">
      <c r="BD351" s="31">
        <v>349</v>
      </c>
      <c r="BE351" s="35">
        <v>174.5</v>
      </c>
      <c r="BF351" s="54" t="s">
        <v>0</v>
      </c>
    </row>
    <row r="352" spans="56:58" ht="39.950000000000003" hidden="1" customHeight="1" x14ac:dyDescent="0.25">
      <c r="BD352" s="31">
        <v>350</v>
      </c>
      <c r="BE352" s="35">
        <v>175</v>
      </c>
      <c r="BF352" s="54" t="s">
        <v>0</v>
      </c>
    </row>
    <row r="353" spans="56:58" ht="39.950000000000003" hidden="1" customHeight="1" x14ac:dyDescent="0.25">
      <c r="BD353" s="31">
        <v>351</v>
      </c>
      <c r="BE353" s="35">
        <v>175.5</v>
      </c>
      <c r="BF353" s="54" t="s">
        <v>0</v>
      </c>
    </row>
    <row r="354" spans="56:58" ht="39.950000000000003" hidden="1" customHeight="1" x14ac:dyDescent="0.25">
      <c r="BD354" s="31">
        <v>352</v>
      </c>
      <c r="BE354" s="35">
        <v>176</v>
      </c>
      <c r="BF354" s="54" t="s">
        <v>0</v>
      </c>
    </row>
    <row r="355" spans="56:58" ht="39.950000000000003" hidden="1" customHeight="1" x14ac:dyDescent="0.25">
      <c r="BD355" s="31">
        <v>353</v>
      </c>
      <c r="BE355" s="35">
        <v>176.5</v>
      </c>
      <c r="BF355" s="54" t="s">
        <v>0</v>
      </c>
    </row>
    <row r="356" spans="56:58" ht="39.950000000000003" hidden="1" customHeight="1" x14ac:dyDescent="0.25">
      <c r="BD356" s="31">
        <v>354</v>
      </c>
      <c r="BE356" s="35">
        <v>177</v>
      </c>
      <c r="BF356" s="54" t="s">
        <v>0</v>
      </c>
    </row>
    <row r="357" spans="56:58" ht="39.950000000000003" hidden="1" customHeight="1" x14ac:dyDescent="0.25">
      <c r="BD357" s="31">
        <v>355</v>
      </c>
      <c r="BE357" s="35">
        <v>177.5</v>
      </c>
      <c r="BF357" s="54" t="s">
        <v>0</v>
      </c>
    </row>
    <row r="358" spans="56:58" ht="39.950000000000003" hidden="1" customHeight="1" x14ac:dyDescent="0.25">
      <c r="BD358" s="31">
        <v>356</v>
      </c>
      <c r="BE358" s="35">
        <v>178</v>
      </c>
      <c r="BF358" s="54" t="s">
        <v>0</v>
      </c>
    </row>
    <row r="359" spans="56:58" ht="39.950000000000003" hidden="1" customHeight="1" x14ac:dyDescent="0.25">
      <c r="BD359" s="31">
        <v>357</v>
      </c>
      <c r="BE359" s="35">
        <v>178.5</v>
      </c>
      <c r="BF359" s="54" t="s">
        <v>0</v>
      </c>
    </row>
    <row r="360" spans="56:58" ht="39.950000000000003" hidden="1" customHeight="1" x14ac:dyDescent="0.25">
      <c r="BD360" s="31">
        <v>358</v>
      </c>
      <c r="BE360" s="35">
        <v>179</v>
      </c>
      <c r="BF360" s="54" t="s">
        <v>0</v>
      </c>
    </row>
    <row r="361" spans="56:58" ht="39.950000000000003" hidden="1" customHeight="1" x14ac:dyDescent="0.25">
      <c r="BD361" s="31">
        <v>359</v>
      </c>
      <c r="BE361" s="35">
        <v>179.5</v>
      </c>
      <c r="BF361" s="54" t="s">
        <v>0</v>
      </c>
    </row>
    <row r="362" spans="56:58" ht="39.950000000000003" hidden="1" customHeight="1" x14ac:dyDescent="0.25">
      <c r="BD362" s="31">
        <v>360</v>
      </c>
      <c r="BE362" s="35">
        <v>180</v>
      </c>
      <c r="BF362" s="54" t="s">
        <v>0</v>
      </c>
    </row>
    <row r="363" spans="56:58" ht="9.9499999999999993" hidden="1" customHeight="1" x14ac:dyDescent="0.25"/>
  </sheetData>
  <sheetProtection algorithmName="SHA-512" hashValue="Tv2podIOaW2aersufgrZ14i6aqiEX4JRm8wElXwzpQ6JLY9o5zcK5+73vc59LWEFMl0gFx5H29e9wueQpXqBBA==" saltValue="zCIBRUvzUfOQ6S6A1HTkDg==" spinCount="100000" sheet="1" objects="1" scenarios="1" selectLockedCells="1"/>
  <mergeCells count="25">
    <mergeCell ref="A1:B14"/>
    <mergeCell ref="H1:H14"/>
    <mergeCell ref="V2:V27"/>
    <mergeCell ref="U2:U27"/>
    <mergeCell ref="T1:V1"/>
    <mergeCell ref="Q1:Q28"/>
    <mergeCell ref="T28:V28"/>
    <mergeCell ref="R1:R28"/>
    <mergeCell ref="P1:P14"/>
    <mergeCell ref="O1:O14"/>
    <mergeCell ref="T2:T27"/>
    <mergeCell ref="N1:N14"/>
    <mergeCell ref="S1:S28"/>
    <mergeCell ref="K1:K14"/>
    <mergeCell ref="W1:W28"/>
    <mergeCell ref="BG1:BG28"/>
    <mergeCell ref="L1:L14"/>
    <mergeCell ref="M1:M14"/>
    <mergeCell ref="G1:G14"/>
    <mergeCell ref="J1:J14"/>
    <mergeCell ref="C1:C14"/>
    <mergeCell ref="D1:D14"/>
    <mergeCell ref="E1:E14"/>
    <mergeCell ref="F1:F14"/>
    <mergeCell ref="I1:I14"/>
  </mergeCells>
  <phoneticPr fontId="4" type="noConversion"/>
  <dataValidations count="9">
    <dataValidation type="list" allowBlank="1" showInputMessage="1" showErrorMessage="1" sqref="AK43:AK54" xr:uid="{FDF252F5-6527-43EE-9CB3-3FF6D7934A6F}">
      <formula1>"Yok, Var"</formula1>
    </dataValidation>
    <dataValidation type="list" allowBlank="1" showInputMessage="1" showErrorMessage="1" sqref="L15:L26" xr:uid="{D6DB34B5-9590-4803-9833-F0079B9818CB}">
      <formula1>$BF$2:$BF$50</formula1>
    </dataValidation>
    <dataValidation type="list" allowBlank="1" showInputMessage="1" showErrorMessage="1" sqref="Q1:Q28" xr:uid="{00000000-0002-0000-0000-000002000000}">
      <formula1>"Ocak, Şubat, Mart, Nisan, Mayıs, Haziran, Temmuz, Ağustos, Eylül, Ekim, Kasım, Aralık, Yıllık Toplam, Yıllık Ortalama"</formula1>
    </dataValidation>
    <dataValidation type="list" allowBlank="1" showInputMessage="1" showErrorMessage="1" sqref="AF18" xr:uid="{00000000-0002-0000-0000-000003000000}">
      <formula1>#REF!</formula1>
    </dataValidation>
    <dataValidation type="list" allowBlank="1" showInputMessage="1" showErrorMessage="1" sqref="AF29:AF40 H15:J26" xr:uid="{00000000-0002-0000-0000-000005000000}">
      <formula1>$BE$2:$BE$362</formula1>
    </dataValidation>
    <dataValidation type="list" allowBlank="1" showInputMessage="1" showErrorMessage="1" sqref="AP29:AP40 K15:K26 AS1:AS12 AL29:AL40 AL15:AL26" xr:uid="{00000000-0002-0000-0000-000006000000}">
      <formula1>$BD$2:$BD$362</formula1>
    </dataValidation>
    <dataValidation type="list" allowBlank="1" showInputMessage="1" showErrorMessage="1" sqref="M15:M26" xr:uid="{83188B9A-0099-4338-B076-EB4079CC5C42}">
      <formula1>"Yok,1. Derece,2. Derece,3. Derece"</formula1>
    </dataValidation>
    <dataValidation type="list" allowBlank="1" showInputMessage="1" showErrorMessage="1" sqref="AE43:AG54" xr:uid="{8D39B2D0-F4D0-45BF-964A-23D3EE799D8B}">
      <formula1>$AA$39:$AA$54</formula1>
    </dataValidation>
    <dataValidation type="list" allowBlank="1" showInputMessage="1" showErrorMessage="1" sqref="S1" xr:uid="{00000000-0002-0000-0000-000007000000}">
      <formula1>$X$21:$X$34</formula1>
    </dataValidation>
  </dataValidations>
  <printOptions horizontalCentered="1" verticalCentered="1"/>
  <pageMargins left="0" right="0" top="0" bottom="0" header="0" footer="0"/>
  <pageSetup paperSize="8"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17</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Özet Tablo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dc:creator>
  <dc:description/>
  <cp:lastModifiedBy>½</cp:lastModifiedBy>
  <cp:lastPrinted>2021-01-27T16:23:43Z</cp:lastPrinted>
  <dcterms:created xsi:type="dcterms:W3CDTF">2015-06-05T18:19:34Z</dcterms:created>
  <dcterms:modified xsi:type="dcterms:W3CDTF">2026-09-20T18:40:15Z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